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905" tabRatio="915" activeTab="2"/>
  </bookViews>
  <sheets>
    <sheet name="11-Дз,12-Дз,13-Дз" sheetId="1" r:id="rId1"/>
    <sheet name="11-Мд" sheetId="2" r:id="rId2"/>
    <sheet name="11-ТТ (БСО)" sheetId="3" r:id="rId3"/>
    <sheet name="11-ЕТ" sheetId="4" r:id="rId4"/>
    <sheet name="11-КІ" sheetId="5" r:id="rId5"/>
    <sheet name="11-ПТ (БСО)" sheetId="6" r:id="rId6"/>
    <sheet name="11-АТ,12-АТ" sheetId="7" r:id="rId7"/>
    <sheet name="11-ІСТ,12-ІСТ" sheetId="8" r:id="rId8"/>
    <sheet name="12-ТТ (ПЗСО)" sheetId="9" r:id="rId9"/>
    <sheet name="12-ПТ (ПЗСО)" sheetId="10" r:id="rId10"/>
    <sheet name="23-АТс (ОКР)" sheetId="11" r:id="rId11"/>
    <sheet name="21-Дз,22-Дз" sheetId="12" r:id="rId12"/>
    <sheet name="21-Мд" sheetId="13" r:id="rId13"/>
    <sheet name="21-ЕТ" sheetId="14" r:id="rId14"/>
    <sheet name="21-ІСТ" sheetId="15" r:id="rId15"/>
    <sheet name="21-АТ,22-АТ" sheetId="16" r:id="rId16"/>
    <sheet name="21-КІ,22-КІ" sheetId="17" r:id="rId17"/>
    <sheet name="21-ПТБ(ПЗСО)" sheetId="18" r:id="rId18"/>
    <sheet name="32-Мдс (ОКР)" sheetId="19" r:id="rId19"/>
    <sheet name="31-Дз,32-Дз" sheetId="20" r:id="rId20"/>
    <sheet name="31-Мд" sheetId="21" r:id="rId21"/>
    <sheet name="31-АТ,32-АТ" sheetId="22" r:id="rId22"/>
    <sheet name="31-ЕТ" sheetId="23" r:id="rId23"/>
    <sheet name="31-КІ,32-КІ" sheetId="24" r:id="rId24"/>
    <sheet name="31-ІСТ,32-ІСТ" sheetId="25" r:id="rId25"/>
    <sheet name="32-ТЛПс (ОКР)" sheetId="26" r:id="rId26"/>
    <sheet name="31-ТЛП " sheetId="27" r:id="rId27"/>
    <sheet name="41-ТЛП" sheetId="28" r:id="rId28"/>
    <sheet name="41-АТ,42-АТ" sheetId="29" r:id="rId29"/>
    <sheet name="33-АТс (ОКР)" sheetId="30" r:id="rId30"/>
    <sheet name="41-Мд" sheetId="31" r:id="rId31"/>
    <sheet name="41-ІСТ" sheetId="32" r:id="rId32"/>
    <sheet name="41-КІ,42-КІ" sheetId="33" r:id="rId33"/>
    <sheet name="41-Дз,42-Дз" sheetId="34" r:id="rId34"/>
    <sheet name="41-ЕТ" sheetId="35" r:id="rId35"/>
  </sheets>
  <definedNames/>
  <calcPr fullCalcOnLoad="1"/>
</workbook>
</file>

<file path=xl/sharedStrings.xml><?xml version="1.0" encoding="utf-8"?>
<sst xmlns="http://schemas.openxmlformats.org/spreadsheetml/2006/main" count="3835" uniqueCount="369">
  <si>
    <t>Затверджено</t>
  </si>
  <si>
    <t>Відокремлений структурний підрозділ "Технічний фаховий коледж Луцького національного технічного університету"</t>
  </si>
  <si>
    <t>Директор коледжу</t>
  </si>
  <si>
    <t>Робочий навчальний план</t>
  </si>
  <si>
    <t>__________________О. ГЕРАСИМЧУК</t>
  </si>
  <si>
    <t>Протокол педагогічної ради коледжу</t>
  </si>
  <si>
    <t>Форма навчання - денна</t>
  </si>
  <si>
    <t>№ з/п</t>
  </si>
  <si>
    <t>Назви навчальних  дисциплін</t>
  </si>
  <si>
    <t>кількість годин за навчальним планом</t>
  </si>
  <si>
    <t>фактично виділено кредитів на поточний навчальний рік</t>
  </si>
  <si>
    <t>фактично виділено годин на поточний навчальний рік</t>
  </si>
  <si>
    <t>ТИЖНІВ</t>
  </si>
  <si>
    <t>всього годин</t>
  </si>
  <si>
    <t>з них аудиторних</t>
  </si>
  <si>
    <t xml:space="preserve">самостійна робота, год. </t>
  </si>
  <si>
    <t>курсові роботи, проекти (КР, КП)</t>
  </si>
  <si>
    <t>індивідуальні заняття</t>
  </si>
  <si>
    <t>розрахункові роботи</t>
  </si>
  <si>
    <t>форми контролю</t>
  </si>
  <si>
    <t>у тому числі</t>
  </si>
  <si>
    <t>екзамен</t>
  </si>
  <si>
    <t>залік</t>
  </si>
  <si>
    <t>екзамен, одиниць</t>
  </si>
  <si>
    <t xml:space="preserve">залік, одиниць </t>
  </si>
  <si>
    <t xml:space="preserve">лекції, год. </t>
  </si>
  <si>
    <t xml:space="preserve">лабораторні, год. </t>
  </si>
  <si>
    <t>практичні, год.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</si>
  <si>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</si>
  <si>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</si>
  <si>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</si>
  <si>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</si>
  <si>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</si>
  <si>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</si>
  <si>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</si>
  <si>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</si>
  <si>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</si>
  <si>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</si>
  <si>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</si>
  <si>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</si>
  <si>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</si>
  <si>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</si>
  <si>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Загальна кількість</t>
  </si>
  <si>
    <t xml:space="preserve">Кількість годин на тиждень </t>
  </si>
  <si>
    <t>Кількість екзаменів</t>
  </si>
  <si>
    <t>Кількість заліків</t>
  </si>
  <si>
    <t>Кількість курсових робіт (проектів)</t>
  </si>
  <si>
    <t>Разом</t>
  </si>
  <si>
    <t>(підпис)</t>
  </si>
  <si>
    <t xml:space="preserve">           </t>
  </si>
  <si>
    <t>(прізвище та ініціали)</t>
  </si>
  <si>
    <t>Завідувач відділення</t>
  </si>
  <si>
    <t xml:space="preserve">      </t>
  </si>
  <si>
    <t>ТРЕТІЙ СЕМЕСТР</t>
  </si>
  <si>
    <t>ЧЕТВЕРТИЙ СЕМЕСТР</t>
  </si>
  <si>
    <t>15</t>
  </si>
  <si>
    <t>16</t>
  </si>
  <si>
    <t>17</t>
  </si>
  <si>
    <t>Підготовки  фахових молодших бакалаврів на 2023-2024 н.р.</t>
  </si>
  <si>
    <t>Голова циклової комісії</t>
  </si>
  <si>
    <t>"____"  _______________   2023  року</t>
  </si>
  <si>
    <t>ПЕРШИЙ СЕМЕСТР</t>
  </si>
  <si>
    <t>ДРУГИЙ СЕМЕСТР</t>
  </si>
  <si>
    <t xml:space="preserve">ДРУГИЙ КУРС, 21-ПТБ </t>
  </si>
  <si>
    <t>на основі ПЗСО</t>
  </si>
  <si>
    <t>Спеціальність 076 Підприємництво, торгівля та біржова діяльність, освітньо-професійна програма "Підприємництво, електронна  комерція та логістика"</t>
  </si>
  <si>
    <t>Маркетинг</t>
  </si>
  <si>
    <t>Дз</t>
  </si>
  <si>
    <t>Економіка підприємств</t>
  </si>
  <si>
    <t xml:space="preserve">Е </t>
  </si>
  <si>
    <t>Е</t>
  </si>
  <si>
    <t>Планування та організація діяльності підприємств</t>
  </si>
  <si>
    <t xml:space="preserve">КР </t>
  </si>
  <si>
    <t>Організація створення бізнесу</t>
  </si>
  <si>
    <t>Економічний аналіз</t>
  </si>
  <si>
    <t>Бухгалтерський облік</t>
  </si>
  <si>
    <t>Фінанси підприємств</t>
  </si>
  <si>
    <t>Логістика</t>
  </si>
  <si>
    <t>Товарознавство</t>
  </si>
  <si>
    <t>Інформаційні системи та технологїі в комерційній діяльності</t>
  </si>
  <si>
    <t>Основи електронної комерції</t>
  </si>
  <si>
    <t>Технологічна практика</t>
  </si>
  <si>
    <t>Виробнича практика</t>
  </si>
  <si>
    <t>Атестація (кваліфікаційний іспит)</t>
  </si>
  <si>
    <t>Спеціальність 076 Підприємництво та торгівля, освітньо-професійна програма "Підприємництво, електронна  комерція та логістика"</t>
  </si>
  <si>
    <t>Історія України (від найдавніших часів до сьогодення)</t>
  </si>
  <si>
    <t>Людина і світ (Культурологія, Філософія, Соціологія)</t>
  </si>
  <si>
    <t>Основи комунікації</t>
  </si>
  <si>
    <t xml:space="preserve">З </t>
  </si>
  <si>
    <t>Іноземна мова за професійним спрямуванням</t>
  </si>
  <si>
    <t>Фізичне виховання (спортивні секції, факультатив)</t>
  </si>
  <si>
    <t>З</t>
  </si>
  <si>
    <t>Правознавство</t>
  </si>
  <si>
    <t>Підприємництво та бізнес-культура</t>
  </si>
  <si>
    <t>Психологія бізнесу</t>
  </si>
  <si>
    <t>Вступ до спеціальності</t>
  </si>
  <si>
    <t>Макро-та мікроекономіка</t>
  </si>
  <si>
    <t>Економічна теорія</t>
  </si>
  <si>
    <t>Менеджмент</t>
  </si>
  <si>
    <t>Інформаційні системи та технології в комерційній діяльності</t>
  </si>
  <si>
    <t>Навчальна практика</t>
  </si>
  <si>
    <t>на основі БСО</t>
  </si>
  <si>
    <t>Українська мова</t>
  </si>
  <si>
    <t>Українська література</t>
  </si>
  <si>
    <t>Зарубіжна література</t>
  </si>
  <si>
    <t>Іноземна мова*</t>
  </si>
  <si>
    <t>Історія України</t>
  </si>
  <si>
    <t>Всесвітня історія</t>
  </si>
  <si>
    <t>Правознавство**</t>
  </si>
  <si>
    <t>Економічна теорія **</t>
  </si>
  <si>
    <t>Математика</t>
  </si>
  <si>
    <t>Фізична культура</t>
  </si>
  <si>
    <t>Захист України</t>
  </si>
  <si>
    <t>Біологія і екологія</t>
  </si>
  <si>
    <t>Хімія</t>
  </si>
  <si>
    <t>Фізика і асторономія</t>
  </si>
  <si>
    <t>Інформатика*</t>
  </si>
  <si>
    <t>Вступ до спеціальності**</t>
  </si>
  <si>
    <t>Основи комунікації**</t>
  </si>
  <si>
    <t>ЧЕТВЕРТИЙ КУРС, 41-Мд</t>
  </si>
  <si>
    <t>Спеціальність 073 Менеджмент, освітньо-професійна програма "Менеджмент"</t>
  </si>
  <si>
    <t>СЬОМИЙ СЕМЕСТР</t>
  </si>
  <si>
    <t>ВОСЬМИЙ СЕМЕСТР</t>
  </si>
  <si>
    <t>Основи філософських знань</t>
  </si>
  <si>
    <t>Основи психології</t>
  </si>
  <si>
    <t>КР</t>
  </si>
  <si>
    <t>Охорона праці з безпекою життєдіяльності</t>
  </si>
  <si>
    <t>ТРЕТІЙ КУРС, 31-Мд</t>
  </si>
  <si>
    <t>П'ЯТИЙ СЕМЕСТР</t>
  </si>
  <si>
    <t>ШОСТИЙ СЕМЕСТР</t>
  </si>
  <si>
    <t>Українська мова (за професійним спрямуванням)</t>
  </si>
  <si>
    <t>Іноземна мова (за професійним спрямуванням)</t>
  </si>
  <si>
    <t>Фізичне виховання (факультатив, спортивні секції)</t>
  </si>
  <si>
    <t>Вища математика</t>
  </si>
  <si>
    <t>Організація виробництва</t>
  </si>
  <si>
    <t xml:space="preserve">ЗАГАЛЬНА ВИБІРКОВА ДИСЦИПЛІНА </t>
  </si>
  <si>
    <t>ДРУГИЙ КУРС, 21-Мд</t>
  </si>
  <si>
    <t>ЗАГАЛЬНА ВИБІРКОВА ДИСЦИПЛІНА</t>
  </si>
  <si>
    <t>ДПА</t>
  </si>
  <si>
    <t>Іноземна мова *</t>
  </si>
  <si>
    <t>Географія</t>
  </si>
  <si>
    <t>Мікроекономіка</t>
  </si>
  <si>
    <t>Підприємницька діяльність</t>
  </si>
  <si>
    <t>18</t>
  </si>
  <si>
    <t>19</t>
  </si>
  <si>
    <t>Тайм-менеджмент</t>
  </si>
  <si>
    <t>Інформаційні технології в менеджменті</t>
  </si>
  <si>
    <t>Статистика</t>
  </si>
  <si>
    <t>Соціальна відповідальність та етика менеджера</t>
  </si>
  <si>
    <t>20</t>
  </si>
  <si>
    <t>ПЕРШИЙ КУРС, 11-Мд</t>
  </si>
  <si>
    <t>Економічна теорія**</t>
  </si>
  <si>
    <t>Основи комунікації **</t>
  </si>
  <si>
    <t>ПЕРШИЙ КУРС, 12-ПТ</t>
  </si>
  <si>
    <t>ПЕРШИЙ КУРС, 11-ПТ</t>
  </si>
  <si>
    <t>ДРУГИЙ КУРС, 32-Мдс</t>
  </si>
  <si>
    <t>на базі ОКР</t>
  </si>
  <si>
    <t>Конфліктологія</t>
  </si>
  <si>
    <t>Лідерство та командотворення</t>
  </si>
  <si>
    <t>Критичне мислення</t>
  </si>
  <si>
    <t>Психологія управління</t>
  </si>
  <si>
    <t>Спеціальність 274 Автомобільний транспорт, освітньо-професійна програма "Автомобільний транспорт"</t>
  </si>
  <si>
    <t>ЧЕТВЕРТИЙ КУРС, 41-АТ,42-АТ</t>
  </si>
  <si>
    <t>Технічна діагностика автомобілів</t>
  </si>
  <si>
    <t>Автомобільні перевезення</t>
  </si>
  <si>
    <t>Економіка на АТ</t>
  </si>
  <si>
    <t>Технологічне обладнання для ТО і ремонту автомобілів</t>
  </si>
  <si>
    <t>Перспективні конструкції автомобілів</t>
  </si>
  <si>
    <t>Виробничо-технічна база підприємств автомобільного транспорту</t>
  </si>
  <si>
    <t>Основи теорії автомобіля</t>
  </si>
  <si>
    <t>Основи технологїі ремонту автомобілів</t>
  </si>
  <si>
    <t>Ділові відносини</t>
  </si>
  <si>
    <t>Атестація (ЄДКІ)</t>
  </si>
  <si>
    <t>ТРЕТІЙ КУРС, 31-АТ,32-АТ</t>
  </si>
  <si>
    <t>Фізичне виховання (спотивні секції, факультатив)</t>
  </si>
  <si>
    <t>Основи теорії ймовірності і статистики</t>
  </si>
  <si>
    <t>Автомобілі</t>
  </si>
  <si>
    <t>Технічна експлуатація автомобілів</t>
  </si>
  <si>
    <t>Електричне та електронне обладнання автомобілів</t>
  </si>
  <si>
    <t>Автомобільні двигуни</t>
  </si>
  <si>
    <t>Охорона праці в галузі</t>
  </si>
  <si>
    <t>Використання експлуатаційних матеріалів</t>
  </si>
  <si>
    <t>Деталі машин</t>
  </si>
  <si>
    <t>ДРУГИЙ КУРС, 21-АТ,22-АТ</t>
  </si>
  <si>
    <t>Інженерна та комп'ютерна графіка**</t>
  </si>
  <si>
    <t>Людина і світ (Культурологія, Філософія, Соціологія)**</t>
  </si>
  <si>
    <t>ТКМ та матеріалознавство**</t>
  </si>
  <si>
    <t>ВСТВ**</t>
  </si>
  <si>
    <t>Фізичні процеси в автомобілях**</t>
  </si>
  <si>
    <t>Історія України (від найдавніних часів до сьогодення)**</t>
  </si>
  <si>
    <t>Підприємницька діяльність**</t>
  </si>
  <si>
    <t>ПЕРШИЙ КУРС, 11-АТ, 12-АТ</t>
  </si>
  <si>
    <t>ДРУГИЙ КУРС, 33-Атс</t>
  </si>
  <si>
    <t>Економіка галузі</t>
  </si>
  <si>
    <t>Технологічне обладнання для ТО та ремонту автомобілів</t>
  </si>
  <si>
    <t>Екологія та ресурсозбереження на АТ</t>
  </si>
  <si>
    <t>Основи технології ремонту автомобілів</t>
  </si>
  <si>
    <t>Автотехнічна екпертиза, страхування і сертифікація</t>
  </si>
  <si>
    <t xml:space="preserve">Організація автосервісу </t>
  </si>
  <si>
    <t>ПЕРШИЙ КУРС, 23-Атс</t>
  </si>
  <si>
    <t>ТКМ та матеріалознавство</t>
  </si>
  <si>
    <t>ВСТВ</t>
  </si>
  <si>
    <t>Комп'ютерні технології на АТ</t>
  </si>
  <si>
    <t>Спеціальність 275 Транспортні технології, спеціалізація 275.03 Транспортні технології (на автомобільному транспорті), освітньо-професійна програма "Транспортні технології (на автомобільному транспорті)"</t>
  </si>
  <si>
    <t>ПЕРШИЙ КУРС, 11-ТТ</t>
  </si>
  <si>
    <t>ПЕРШИЙ КУРС, 12-ТТ</t>
  </si>
  <si>
    <t>Основи теорії ймовірності та статистики</t>
  </si>
  <si>
    <t>Комп'ютерна графіка</t>
  </si>
  <si>
    <t>Засоби автомобільного транспорту</t>
  </si>
  <si>
    <t>Транспортне право</t>
  </si>
  <si>
    <t>Транспортна географія</t>
  </si>
  <si>
    <t>ЧЕТВЕРТИЙ КУРС, 41-ЕТ</t>
  </si>
  <si>
    <t>Спеціальність 141 Електроенергетика, електротехніка та електромеханіка, освітньо-професійна програма "Електроенергетика, електротехніка та електромеханіка"</t>
  </si>
  <si>
    <t>Економіка в енергетиці</t>
  </si>
  <si>
    <t>Основи електропостачання</t>
  </si>
  <si>
    <t>Релейний захист і автоматика</t>
  </si>
  <si>
    <t>Електричні станції і підстанції</t>
  </si>
  <si>
    <t>Переддипломна практика</t>
  </si>
  <si>
    <t>Атестація (захист кваліфікаційної роботи)</t>
  </si>
  <si>
    <t>Теорія автоматичного керування</t>
  </si>
  <si>
    <t>Основи світлотехніки</t>
  </si>
  <si>
    <t>Основи електроприводу</t>
  </si>
  <si>
    <t>Електропостачання в галузі</t>
  </si>
  <si>
    <t>Фізичне виховання</t>
  </si>
  <si>
    <t>Фізика</t>
  </si>
  <si>
    <t>Теоретичні основи електротехніки</t>
  </si>
  <si>
    <t>Електричні мережі</t>
  </si>
  <si>
    <t>Електричні апарати</t>
  </si>
  <si>
    <t>Комп'ютерне проектування систем електропостачання</t>
  </si>
  <si>
    <t>Електричні машини</t>
  </si>
  <si>
    <t>Економіка, організація і планування виробництва</t>
  </si>
  <si>
    <t>ДРУГИЙ КУРС, 21-ЕТ</t>
  </si>
  <si>
    <t>Інженерна та комп'ютерна графіка</t>
  </si>
  <si>
    <t>Нетрадиційні джерела енергії</t>
  </si>
  <si>
    <t>Історія України (від найдавніних часів до сьогодення)</t>
  </si>
  <si>
    <t>Основи метрології та електричні вимірювання</t>
  </si>
  <si>
    <t>ПЕРШИЙ КУРС, 11-ЕТ</t>
  </si>
  <si>
    <t>ТРЕТІЙ КУРС, 31-ЕТ</t>
  </si>
  <si>
    <t>Спеціальність 123 Комп'ютерна інженерія, освітньо-професійна програма "Комп'ютерна інженерія"</t>
  </si>
  <si>
    <t>ЧЕТВЕРТИЙ КУРС, 41-КІ,42-КІ</t>
  </si>
  <si>
    <t>Фізичне виховання (секції, гуртокова робота)</t>
  </si>
  <si>
    <t>Основи психології та етики ділових відносин</t>
  </si>
  <si>
    <t>Організація баз даних</t>
  </si>
  <si>
    <t>Операційні системи та та системне програмне забезпечення</t>
  </si>
  <si>
    <t>Економіка ІТ-індустрії</t>
  </si>
  <si>
    <t>Комп'ютерні системи</t>
  </si>
  <si>
    <t>Виробничо-технологічна практика</t>
  </si>
  <si>
    <t>Захист інформації в комп'ютерних системах</t>
  </si>
  <si>
    <t>Адміністрування комп'ютерних систем та мереж</t>
  </si>
  <si>
    <t>Контролери та сенсори систем ІОТ</t>
  </si>
  <si>
    <t>ТРЕТІЙ КУРС, 31-КІ,32-КІ</t>
  </si>
  <si>
    <t>Фізичне виховання (секції, факультатив)</t>
  </si>
  <si>
    <t>Теорія ймовірності та математична статистика</t>
  </si>
  <si>
    <t>Дискретна математика</t>
  </si>
  <si>
    <t>Алгоритми і методи обчислення</t>
  </si>
  <si>
    <t>Системне програмування</t>
  </si>
  <si>
    <t>Теорія електричних і магнітних кіл</t>
  </si>
  <si>
    <t>Організація комп'ютерних мереж</t>
  </si>
  <si>
    <t>Комп'ютерна схемотехніка  та електроніка</t>
  </si>
  <si>
    <t>Безпроводові технології/програмування мікроконтролерів</t>
  </si>
  <si>
    <t>Проектування мікроконтролерних пристроїв</t>
  </si>
  <si>
    <t>ДРУГИЙ КУРС, 21-КІ, 22-КІ</t>
  </si>
  <si>
    <t xml:space="preserve"> З </t>
  </si>
  <si>
    <t>Людина і світ (Культурологія, філософія, соціологія)</t>
  </si>
  <si>
    <t>Сигнали та процеси в інформаційно-комунікаційних системах</t>
  </si>
  <si>
    <t>Основи програмування</t>
  </si>
  <si>
    <t>Основи web-проектування</t>
  </si>
  <si>
    <t>Архітектура комп'ютерів</t>
  </si>
  <si>
    <t>ПЕРШИЙ КУРС, 11-КІ</t>
  </si>
  <si>
    <t>ЧЕТВЕРТИЙ КУРС, 41-ІСТ</t>
  </si>
  <si>
    <t>Управління ІТ-проектами</t>
  </si>
  <si>
    <t>Інформаційні технології ІОТ</t>
  </si>
  <si>
    <t>Об'єктно-орієнтоване програмування</t>
  </si>
  <si>
    <t>Системи відеоспостереження</t>
  </si>
  <si>
    <t>Оптимізаційні методи і моделі</t>
  </si>
  <si>
    <t>Хмарні технології</t>
  </si>
  <si>
    <t>Спеціальність 126 Інформаційні системи та технології, освітньо-професійна програма "Інформаційні системи та технології"</t>
  </si>
  <si>
    <t>ТРЕТІЙ КУРС, 31-ІСТ,32-ІСТ</t>
  </si>
  <si>
    <t>Теорія ймовірностей та математична статистика</t>
  </si>
  <si>
    <t xml:space="preserve">Дискретна математика </t>
  </si>
  <si>
    <t>Технології розробки програмного забезпечення</t>
  </si>
  <si>
    <t>Комп'ютерні мережі</t>
  </si>
  <si>
    <t>Комп'ютерна схемотехніка та електроніка</t>
  </si>
  <si>
    <t>Операційні системи та системне програмне забезпечення</t>
  </si>
  <si>
    <t>Моделювання систем</t>
  </si>
  <si>
    <t>Мультимедійні технології</t>
  </si>
  <si>
    <t>ДРУГИЙ КУРС, 21-ІСТ</t>
  </si>
  <si>
    <t>Фізика і астрономія</t>
  </si>
  <si>
    <t>Web технології</t>
  </si>
  <si>
    <t>Основи стандартизації та сертифікації</t>
  </si>
  <si>
    <t>Основи web проектування</t>
  </si>
  <si>
    <t>ПЕРШИЙ КУРС, 11-ІСТ, 12-ІСТ</t>
  </si>
  <si>
    <t>Спеціальність 022 Дизайн, освітньо-професійна програма "Дизайн"</t>
  </si>
  <si>
    <t>ЧЕТВЕРТИЙ КУРС, 41-Дз, 42-Дз</t>
  </si>
  <si>
    <t>Художнє проектування</t>
  </si>
  <si>
    <t>Макетування</t>
  </si>
  <si>
    <t>Ергономіка</t>
  </si>
  <si>
    <t>Комп'ютерне проектування інтер'єру/КПГ</t>
  </si>
  <si>
    <t>Історія мистецтва</t>
  </si>
  <si>
    <t>Історія інтер'єру/Історія реклами</t>
  </si>
  <si>
    <t>ТРЕТІЙ КУРС, 31-Дз, 32-Дз</t>
  </si>
  <si>
    <t>Основи композиції</t>
  </si>
  <si>
    <t>Основи формоутворення  та конструювання</t>
  </si>
  <si>
    <t>Живопис</t>
  </si>
  <si>
    <t>Композиційна організація форм</t>
  </si>
  <si>
    <t>Конструювання в інтер'єрі/ОКІДУ</t>
  </si>
  <si>
    <t>Дизайн предметів інтер'єру/Художня графіка</t>
  </si>
  <si>
    <t>ДРУГИЙ КУРС, 21-Дз,22-Дз</t>
  </si>
  <si>
    <t>Основи креслення і нарисної геометрії</t>
  </si>
  <si>
    <t>Матеріалознавство</t>
  </si>
  <si>
    <t>Основи графіки</t>
  </si>
  <si>
    <t>Кольорознавство</t>
  </si>
  <si>
    <t>Рисунок</t>
  </si>
  <si>
    <t>ПЕРШИЙ КУРС, 11-Дз,12-Дз,13-Дз</t>
  </si>
  <si>
    <t>Українське мистецтво та дизайн**</t>
  </si>
  <si>
    <t>ЧЕТВЕРТИЙ КУРС, 41-ТЛП</t>
  </si>
  <si>
    <t>Спеціальність 182 Технології легкої промисловості, освітньо-професійна програма "Технології легкої промисловості"</t>
  </si>
  <si>
    <t>Рисунок та основи композиції</t>
  </si>
  <si>
    <t>Історія стилів у мистецтві</t>
  </si>
  <si>
    <t>Перспектива</t>
  </si>
  <si>
    <t>Основи маркетингу та менеджменту</t>
  </si>
  <si>
    <t>Оздоблення виробів</t>
  </si>
  <si>
    <t>Конструювання з різних матеріалів</t>
  </si>
  <si>
    <t>ТРЕТІЙ КУРС, 31-ТЛП</t>
  </si>
  <si>
    <t>Безпека життєдіяльності та охорона праці в галузі</t>
  </si>
  <si>
    <t>Практикум з виготовлення виробів</t>
  </si>
  <si>
    <t>Основи охорони праці</t>
  </si>
  <si>
    <t>ДРУГИЙ КУРС, 32-ТЛПс</t>
  </si>
  <si>
    <t>на основі ОКР</t>
  </si>
  <si>
    <t>ЧЕТВЕРТИЙ  СЕМЕСТР</t>
  </si>
  <si>
    <t>Моделювання одягу</t>
  </si>
  <si>
    <t>Історія костюму</t>
  </si>
  <si>
    <t>Основи САПР</t>
  </si>
  <si>
    <t>Основи конструювання виробів</t>
  </si>
  <si>
    <t>Технології відновлення автомобільних деталей</t>
  </si>
  <si>
    <t>від 29.08.2023 р.  № 1</t>
  </si>
  <si>
    <r>
      <t xml:space="preserve">від </t>
    </r>
    <r>
      <rPr>
        <u val="single"/>
        <sz val="20"/>
        <color indexed="8"/>
        <rFont val="Times New Roman"/>
        <family val="1"/>
      </rPr>
      <t>29.08.2023 р.  № 1</t>
    </r>
  </si>
  <si>
    <r>
      <rPr>
        <sz val="20"/>
        <color indexed="8"/>
        <rFont val="Times New Roman"/>
        <family val="1"/>
      </rPr>
      <t xml:space="preserve">від </t>
    </r>
    <r>
      <rPr>
        <u val="single"/>
        <sz val="20"/>
        <color indexed="8"/>
        <rFont val="Times New Roman"/>
        <family val="1"/>
      </rPr>
      <t>29.08.2023 р.  № 1</t>
    </r>
  </si>
  <si>
    <r>
      <t xml:space="preserve">від </t>
    </r>
    <r>
      <rPr>
        <u val="single"/>
        <sz val="20"/>
        <color indexed="8"/>
        <rFont val="Times New Roman"/>
        <family val="1"/>
      </rPr>
      <t xml:space="preserve">29.08.2023 р. № 1  </t>
    </r>
  </si>
  <si>
    <r>
      <t>від</t>
    </r>
    <r>
      <rPr>
        <u val="single"/>
        <sz val="20"/>
        <color indexed="8"/>
        <rFont val="Times New Roman"/>
        <family val="1"/>
      </rPr>
      <t xml:space="preserve"> 29.08.2023 р.  № 1</t>
    </r>
  </si>
  <si>
    <t xml:space="preserve">Економіка підприємств </t>
  </si>
  <si>
    <t xml:space="preserve">Господарське право </t>
  </si>
  <si>
    <t xml:space="preserve">Основи оподаткування/Зовнішньоекономічна діяльність </t>
  </si>
  <si>
    <t>Міжкультура комунікація/Самоменеджмент</t>
  </si>
  <si>
    <t xml:space="preserve">Міжкультура комунікація/Самоменеджмент </t>
  </si>
  <si>
    <r>
      <t xml:space="preserve">від </t>
    </r>
    <r>
      <rPr>
        <u val="single"/>
        <sz val="20"/>
        <color indexed="8"/>
        <rFont val="Times New Roman"/>
        <family val="1"/>
      </rPr>
      <t>29.08.2023 р.  № 1</t>
    </r>
  </si>
  <si>
    <t xml:space="preserve">Управління персоналом </t>
  </si>
  <si>
    <r>
      <t>від</t>
    </r>
    <r>
      <rPr>
        <u val="single"/>
        <sz val="20"/>
        <color indexed="8"/>
        <rFont val="Times New Roman"/>
        <family val="1"/>
      </rPr>
      <t xml:space="preserve"> 29.08.2023 р.  № 1</t>
    </r>
  </si>
  <si>
    <t xml:space="preserve">Автозапчастини та логістика/Транспортні засоби з електричним приводом </t>
  </si>
  <si>
    <t xml:space="preserve">Електропостачання загальнопромислових приймачів електроенергії </t>
  </si>
  <si>
    <t xml:space="preserve">Безпека життєдіяльності та охорона праці в галузі </t>
  </si>
  <si>
    <t xml:space="preserve">Основи філософських знань </t>
  </si>
  <si>
    <t xml:space="preserve">Живопис </t>
  </si>
  <si>
    <t xml:space="preserve">Основи маркетингу та менеджменту </t>
  </si>
  <si>
    <t xml:space="preserve">Конструювання виробів з різних матеріалів </t>
  </si>
  <si>
    <t>Розробка та просування авторських колекцій</t>
  </si>
  <si>
    <t xml:space="preserve">Історія орнаменту </t>
  </si>
  <si>
    <t>Біодизайн в одязі</t>
  </si>
  <si>
    <t xml:space="preserve">Економіка, організація і планування виробництва </t>
  </si>
  <si>
    <t xml:space="preserve">Рисунок та основи композиції </t>
  </si>
  <si>
    <t xml:space="preserve">Оздоблення виробів </t>
  </si>
  <si>
    <t xml:space="preserve">Конструювання з різних матеріалів </t>
  </si>
  <si>
    <t xml:space="preserve">Біодизайн в одязі </t>
  </si>
  <si>
    <r>
      <t>ві</t>
    </r>
    <r>
      <rPr>
        <u val="single"/>
        <sz val="20"/>
        <color indexed="8"/>
        <rFont val="Times New Roman"/>
        <family val="1"/>
      </rPr>
      <t>д 29.08.2023 р.  № 1</t>
    </r>
  </si>
  <si>
    <t xml:space="preserve">Мііжнародні перевезення/Організація автосервісу </t>
  </si>
  <si>
    <t>Бренд-менеджмент</t>
  </si>
  <si>
    <t xml:space="preserve">Основи кібербезпеки/периферійні пристрої </t>
  </si>
  <si>
    <t xml:space="preserve">Електропостачання та електроустаткування цивільних споруд </t>
  </si>
  <si>
    <t>Технічне обслуговування ЕОМ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</si>
</sst>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mo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mo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u val="single"/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>
      <alignment/>
      <protection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" fontId="3" fillId="33" borderId="2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33" borderId="3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7" fillId="0" borderId="45" xfId="0" applyFont="1" applyBorder="1" applyAlignment="1">
      <alignment/>
    </xf>
    <xf numFmtId="0" fontId="48" fillId="0" borderId="20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48" fillId="0" borderId="47" xfId="0" applyFont="1" applyFill="1" applyBorder="1" applyAlignment="1">
      <alignment horizontal="center"/>
    </xf>
    <xf numFmtId="0" fontId="48" fillId="0" borderId="5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3" xfId="0" applyFont="1" applyBorder="1" applyAlignment="1">
      <alignment/>
    </xf>
    <xf numFmtId="0" fontId="2" fillId="0" borderId="0" xfId="0" applyFont="1" applyAlignment="1">
      <alignment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7" fillId="35" borderId="54" xfId="53" applyFont="1" applyFill="1" applyBorder="1" applyAlignment="1">
      <alignment horizontal="left" vertical="center" wrapText="1"/>
      <protection/>
    </xf>
    <xf numFmtId="0" fontId="47" fillId="35" borderId="54" xfId="53" applyFont="1" applyFill="1" applyBorder="1" applyAlignment="1">
      <alignment/>
      <protection/>
    </xf>
    <xf numFmtId="0" fontId="4" fillId="34" borderId="55" xfId="53" applyFont="1" applyFill="1" applyBorder="1" applyAlignment="1">
      <alignment/>
      <protection/>
    </xf>
    <xf numFmtId="0" fontId="4" fillId="34" borderId="47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7" fillId="35" borderId="59" xfId="53" applyFont="1" applyFill="1" applyBorder="1" applyAlignment="1">
      <alignment horizontal="left" vertical="center" wrapText="1"/>
      <protection/>
    </xf>
    <xf numFmtId="0" fontId="3" fillId="34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 vertical="center" wrapText="1"/>
    </xf>
    <xf numFmtId="0" fontId="47" fillId="35" borderId="67" xfId="53" applyFont="1" applyFill="1" applyBorder="1" applyAlignment="1">
      <alignment horizontal="left" vertical="center"/>
      <protection/>
    </xf>
    <xf numFmtId="0" fontId="3" fillId="33" borderId="3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7" fillId="35" borderId="54" xfId="53" applyFont="1" applyFill="1" applyBorder="1" applyAlignment="1">
      <alignment horizontal="left" vertical="center"/>
      <protection/>
    </xf>
    <xf numFmtId="0" fontId="47" fillId="35" borderId="55" xfId="53" applyFont="1" applyFill="1" applyBorder="1" applyAlignment="1">
      <alignment/>
      <protection/>
    </xf>
    <xf numFmtId="0" fontId="47" fillId="35" borderId="17" xfId="53" applyFont="1" applyFill="1" applyBorder="1" applyAlignment="1">
      <alignment horizontal="left" vertical="center"/>
      <protection/>
    </xf>
    <xf numFmtId="0" fontId="47" fillId="35" borderId="23" xfId="53" applyFont="1" applyFill="1" applyBorder="1" applyAlignment="1">
      <alignment horizontal="left" vertical="center" wrapText="1"/>
      <protection/>
    </xf>
    <xf numFmtId="0" fontId="47" fillId="35" borderId="23" xfId="53" applyFont="1" applyFill="1" applyBorder="1" applyAlignment="1">
      <alignment horizontal="left" vertical="center"/>
      <protection/>
    </xf>
    <xf numFmtId="0" fontId="47" fillId="35" borderId="23" xfId="53" applyFont="1" applyFill="1" applyBorder="1" applyAlignment="1">
      <alignment/>
      <protection/>
    </xf>
    <xf numFmtId="0" fontId="47" fillId="35" borderId="51" xfId="53" applyFont="1" applyFill="1" applyBorder="1" applyAlignment="1">
      <alignment/>
      <protection/>
    </xf>
    <xf numFmtId="0" fontId="3" fillId="0" borderId="6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7" fillId="35" borderId="26" xfId="53" applyFont="1" applyFill="1" applyBorder="1" applyAlignment="1">
      <alignment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7" fillId="35" borderId="37" xfId="53" applyFont="1" applyFill="1" applyBorder="1" applyAlignment="1">
      <alignment wrapText="1"/>
      <protection/>
    </xf>
    <xf numFmtId="49" fontId="4" fillId="34" borderId="51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0" fontId="4" fillId="36" borderId="17" xfId="53" applyFont="1" applyFill="1" applyBorder="1" applyAlignment="1">
      <alignment/>
      <protection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 wrapText="1"/>
    </xf>
    <xf numFmtId="0" fontId="4" fillId="36" borderId="51" xfId="53" applyFont="1" applyFill="1" applyBorder="1" applyAlignment="1">
      <alignment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7" fillId="35" borderId="72" xfId="53" applyFont="1" applyFill="1" applyBorder="1" applyAlignment="1">
      <alignment horizontal="left" vertical="center" wrapText="1"/>
      <protection/>
    </xf>
    <xf numFmtId="49" fontId="4" fillId="36" borderId="63" xfId="0" applyNumberFormat="1" applyFont="1" applyFill="1" applyBorder="1" applyAlignment="1">
      <alignment horizontal="center" vertical="center" wrapText="1"/>
    </xf>
    <xf numFmtId="0" fontId="4" fillId="36" borderId="63" xfId="53" applyFont="1" applyFill="1" applyBorder="1" applyAlignment="1">
      <alignment/>
      <protection/>
    </xf>
    <xf numFmtId="0" fontId="3" fillId="36" borderId="63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 vertical="center" wrapText="1"/>
    </xf>
    <xf numFmtId="0" fontId="4" fillId="36" borderId="64" xfId="0" applyFont="1" applyFill="1" applyBorder="1" applyAlignment="1">
      <alignment horizontal="center" vertical="center" wrapText="1"/>
    </xf>
    <xf numFmtId="0" fontId="4" fillId="36" borderId="65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 wrapText="1"/>
    </xf>
    <xf numFmtId="0" fontId="47" fillId="35" borderId="39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7" fillId="33" borderId="63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64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47" fillId="35" borderId="61" xfId="53" applyFont="1" applyFill="1" applyBorder="1" applyAlignment="1">
      <alignment horizontal="left" vertical="center" wrapText="1"/>
      <protection/>
    </xf>
    <xf numFmtId="0" fontId="3" fillId="33" borderId="7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34" borderId="61" xfId="0" applyNumberFormat="1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7" fillId="35" borderId="78" xfId="53" applyFont="1" applyFill="1" applyBorder="1" applyAlignment="1">
      <alignment horizontal="left" vertical="center" wrapText="1"/>
      <protection/>
    </xf>
    <xf numFmtId="0" fontId="3" fillId="0" borderId="4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7" fillId="37" borderId="63" xfId="53" applyFont="1" applyFill="1" applyBorder="1" applyAlignment="1">
      <alignment horizontal="left" vertical="center" wrapText="1"/>
      <protection/>
    </xf>
    <xf numFmtId="0" fontId="3" fillId="36" borderId="64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47" fillId="35" borderId="53" xfId="53" applyFont="1" applyFill="1" applyBorder="1" applyAlignment="1">
      <alignment/>
      <protection/>
    </xf>
    <xf numFmtId="49" fontId="4" fillId="0" borderId="51" xfId="0" applyNumberFormat="1" applyFont="1" applyFill="1" applyBorder="1" applyAlignment="1">
      <alignment horizontal="center" vertical="center" wrapText="1"/>
    </xf>
    <xf numFmtId="0" fontId="47" fillId="35" borderId="51" xfId="53" applyFont="1" applyFill="1" applyBorder="1" applyAlignment="1">
      <alignment horizontal="left" vertical="center"/>
      <protection/>
    </xf>
    <xf numFmtId="0" fontId="47" fillId="0" borderId="46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47" fillId="35" borderId="23" xfId="53" applyFont="1" applyFill="1" applyBorder="1" applyAlignment="1">
      <alignment wrapText="1"/>
      <protection/>
    </xf>
    <xf numFmtId="0" fontId="47" fillId="35" borderId="61" xfId="53" applyFont="1" applyFill="1" applyBorder="1" applyAlignment="1">
      <alignment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47" fillId="35" borderId="61" xfId="53" applyFont="1" applyFill="1" applyBorder="1" applyAlignment="1">
      <alignment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35" borderId="79" xfId="53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7" fillId="37" borderId="39" xfId="53" applyFont="1" applyFill="1" applyBorder="1" applyAlignment="1">
      <alignment horizontal="left" vertical="center" wrapText="1"/>
      <protection/>
    </xf>
    <xf numFmtId="0" fontId="3" fillId="36" borderId="39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 wrapText="1"/>
    </xf>
    <xf numFmtId="0" fontId="47" fillId="35" borderId="51" xfId="53" applyFont="1" applyFill="1" applyBorder="1" applyAlignment="1">
      <alignment horizontal="left" vertical="center" wrapText="1"/>
      <protection/>
    </xf>
    <xf numFmtId="0" fontId="47" fillId="35" borderId="17" xfId="53" applyFont="1" applyFill="1" applyBorder="1" applyAlignment="1">
      <alignment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7" fillId="35" borderId="70" xfId="53" applyFont="1" applyFill="1" applyBorder="1" applyAlignment="1">
      <alignment horizontal="left" vertical="center" wrapText="1"/>
      <protection/>
    </xf>
    <xf numFmtId="0" fontId="47" fillId="35" borderId="70" xfId="53" applyFont="1" applyFill="1" applyBorder="1" applyAlignment="1">
      <alignment horizontal="left" vertical="center"/>
      <protection/>
    </xf>
    <xf numFmtId="0" fontId="47" fillId="35" borderId="70" xfId="53" applyFont="1" applyFill="1" applyBorder="1" applyAlignment="1">
      <alignment/>
      <protection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36" borderId="17" xfId="53" applyFont="1" applyFill="1" applyBorder="1" applyAlignment="1">
      <alignment wrapText="1"/>
      <protection/>
    </xf>
    <xf numFmtId="0" fontId="4" fillId="36" borderId="51" xfId="53" applyFont="1" applyFill="1" applyBorder="1" applyAlignment="1">
      <alignment wrapText="1"/>
      <protection/>
    </xf>
    <xf numFmtId="0" fontId="3" fillId="33" borderId="10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7" fillId="35" borderId="69" xfId="53" applyFont="1" applyFill="1" applyBorder="1" applyAlignment="1">
      <alignment horizontal="left" vertical="center"/>
      <protection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34" borderId="54" xfId="0" applyNumberFormat="1" applyFont="1" applyFill="1" applyBorder="1" applyAlignment="1">
      <alignment horizontal="center" vertical="center" wrapText="1"/>
    </xf>
    <xf numFmtId="49" fontId="4" fillId="34" borderId="55" xfId="0" applyNumberFormat="1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9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7" fillId="35" borderId="43" xfId="53" applyFont="1" applyFill="1" applyBorder="1" applyAlignment="1">
      <alignment horizontal="left" vertical="center"/>
      <protection/>
    </xf>
    <xf numFmtId="0" fontId="4" fillId="34" borderId="70" xfId="53" applyFont="1" applyFill="1" applyBorder="1" applyAlignment="1">
      <alignment/>
      <protection/>
    </xf>
    <xf numFmtId="0" fontId="47" fillId="35" borderId="26" xfId="53" applyFont="1" applyFill="1" applyBorder="1" applyAlignment="1">
      <alignment wrapText="1"/>
      <protection/>
    </xf>
    <xf numFmtId="49" fontId="4" fillId="0" borderId="72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4" fillId="34" borderId="59" xfId="0" applyNumberFormat="1" applyFont="1" applyFill="1" applyBorder="1" applyAlignment="1">
      <alignment horizontal="center" vertical="center" wrapText="1"/>
    </xf>
    <xf numFmtId="0" fontId="4" fillId="34" borderId="43" xfId="53" applyFont="1" applyFill="1" applyBorder="1" applyAlignment="1">
      <alignment/>
      <protection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49" fontId="4" fillId="36" borderId="39" xfId="0" applyNumberFormat="1" applyFont="1" applyFill="1" applyBorder="1" applyAlignment="1">
      <alignment horizontal="center" vertical="center" wrapText="1"/>
    </xf>
    <xf numFmtId="0" fontId="4" fillId="36" borderId="66" xfId="53" applyFont="1" applyFill="1" applyBorder="1" applyAlignment="1">
      <alignment/>
      <protection/>
    </xf>
    <xf numFmtId="0" fontId="3" fillId="36" borderId="39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1" fontId="3" fillId="33" borderId="63" xfId="0" applyNumberFormat="1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8" fillId="0" borderId="49" xfId="0" applyFont="1" applyFill="1" applyBorder="1" applyAlignment="1">
      <alignment horizontal="center"/>
    </xf>
    <xf numFmtId="0" fontId="48" fillId="0" borderId="48" xfId="0" applyFont="1" applyFill="1" applyBorder="1" applyAlignment="1">
      <alignment horizontal="center"/>
    </xf>
    <xf numFmtId="0" fontId="4" fillId="34" borderId="68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7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49" fontId="4" fillId="34" borderId="79" xfId="0" applyNumberFormat="1" applyFont="1" applyFill="1" applyBorder="1" applyAlignment="1">
      <alignment horizontal="center" vertical="center" wrapText="1"/>
    </xf>
    <xf numFmtId="0" fontId="4" fillId="34" borderId="0" xfId="53" applyFont="1" applyFill="1" applyBorder="1" applyAlignment="1">
      <alignment/>
      <protection/>
    </xf>
    <xf numFmtId="0" fontId="3" fillId="34" borderId="79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4" borderId="79" xfId="0" applyFont="1" applyFill="1" applyBorder="1" applyAlignment="1">
      <alignment horizontal="center" vertical="center"/>
    </xf>
    <xf numFmtId="0" fontId="47" fillId="35" borderId="43" xfId="53" applyFont="1" applyFill="1" applyBorder="1" applyAlignment="1">
      <alignment horizontal="left" vertical="center" wrapText="1"/>
      <protection/>
    </xf>
    <xf numFmtId="0" fontId="3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/>
    </xf>
    <xf numFmtId="49" fontId="4" fillId="34" borderId="67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7" fillId="35" borderId="70" xfId="53" applyFont="1" applyFill="1" applyBorder="1" applyAlignment="1">
      <alignment wrapText="1"/>
      <protection/>
    </xf>
    <xf numFmtId="0" fontId="3" fillId="34" borderId="62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/>
    </xf>
    <xf numFmtId="0" fontId="4" fillId="36" borderId="63" xfId="53" applyFont="1" applyFill="1" applyBorder="1" applyAlignment="1">
      <alignment wrapText="1"/>
      <protection/>
    </xf>
    <xf numFmtId="0" fontId="4" fillId="34" borderId="31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/>
    </xf>
    <xf numFmtId="0" fontId="47" fillId="35" borderId="26" xfId="53" applyFont="1" applyFill="1" applyBorder="1" applyAlignment="1">
      <alignment horizontal="left" vertical="center"/>
      <protection/>
    </xf>
    <xf numFmtId="0" fontId="47" fillId="0" borderId="11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7" fillId="36" borderId="47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7" fillId="35" borderId="26" xfId="53" applyFont="1" applyFill="1" applyBorder="1" applyAlignment="1">
      <alignment horizontal="left" vertical="center" wrapText="1"/>
      <protection/>
    </xf>
    <xf numFmtId="0" fontId="4" fillId="34" borderId="3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81" xfId="53" applyFont="1" applyFill="1" applyBorder="1" applyAlignment="1">
      <alignment/>
      <protection/>
    </xf>
    <xf numFmtId="0" fontId="4" fillId="34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49" fontId="4" fillId="36" borderId="76" xfId="0" applyNumberFormat="1" applyFont="1" applyFill="1" applyBorder="1" applyAlignment="1">
      <alignment horizontal="center" vertical="center" wrapText="1"/>
    </xf>
    <xf numFmtId="0" fontId="47" fillId="37" borderId="85" xfId="53" applyFont="1" applyFill="1" applyBorder="1" applyAlignment="1">
      <alignment/>
      <protection/>
    </xf>
    <xf numFmtId="0" fontId="3" fillId="36" borderId="77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/>
    </xf>
    <xf numFmtId="0" fontId="4" fillId="36" borderId="86" xfId="0" applyFont="1" applyFill="1" applyBorder="1" applyAlignment="1">
      <alignment horizontal="center" vertical="center"/>
    </xf>
    <xf numFmtId="0" fontId="4" fillId="36" borderId="87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 wrapText="1"/>
    </xf>
    <xf numFmtId="0" fontId="4" fillId="36" borderId="83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3" fillId="36" borderId="88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7" fillId="0" borderId="73" xfId="0" applyFont="1" applyBorder="1" applyAlignment="1">
      <alignment horizontal="center"/>
    </xf>
    <xf numFmtId="0" fontId="3" fillId="36" borderId="66" xfId="0" applyFont="1" applyFill="1" applyBorder="1" applyAlignment="1">
      <alignment horizontal="center" vertical="center" wrapText="1"/>
    </xf>
    <xf numFmtId="0" fontId="47" fillId="37" borderId="67" xfId="53" applyFont="1" applyFill="1" applyBorder="1" applyAlignment="1">
      <alignment/>
      <protection/>
    </xf>
    <xf numFmtId="0" fontId="4" fillId="36" borderId="55" xfId="53" applyFont="1" applyFill="1" applyBorder="1" applyAlignment="1">
      <alignment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90" wrapText="1"/>
    </xf>
    <xf numFmtId="0" fontId="0" fillId="25" borderId="0" xfId="0" applyFill="1" applyAlignment="1">
      <alignment/>
    </xf>
    <xf numFmtId="49" fontId="4" fillId="38" borderId="39" xfId="0" applyNumberFormat="1" applyFont="1" applyFill="1" applyBorder="1" applyAlignment="1">
      <alignment horizontal="center" vertical="center" wrapText="1"/>
    </xf>
    <xf numFmtId="0" fontId="4" fillId="38" borderId="66" xfId="53" applyFont="1" applyFill="1" applyBorder="1" applyAlignment="1">
      <alignment/>
      <protection/>
    </xf>
    <xf numFmtId="0" fontId="3" fillId="38" borderId="39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4" fillId="38" borderId="65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3" fillId="38" borderId="66" xfId="0" applyFont="1" applyFill="1" applyBorder="1" applyAlignment="1">
      <alignment horizontal="center" vertical="center"/>
    </xf>
    <xf numFmtId="0" fontId="47" fillId="38" borderId="27" xfId="0" applyFont="1" applyFill="1" applyBorder="1" applyAlignment="1">
      <alignment horizontal="center"/>
    </xf>
    <xf numFmtId="0" fontId="4" fillId="38" borderId="65" xfId="0" applyFont="1" applyFill="1" applyBorder="1" applyAlignment="1">
      <alignment horizontal="center" vertical="center" wrapText="1"/>
    </xf>
    <xf numFmtId="0" fontId="4" fillId="38" borderId="64" xfId="0" applyFont="1" applyFill="1" applyBorder="1" applyAlignment="1">
      <alignment horizontal="center" vertical="center" wrapText="1"/>
    </xf>
    <xf numFmtId="49" fontId="4" fillId="38" borderId="76" xfId="0" applyNumberFormat="1" applyFont="1" applyFill="1" applyBorder="1" applyAlignment="1">
      <alignment horizontal="center" vertical="center" wrapText="1"/>
    </xf>
    <xf numFmtId="0" fontId="47" fillId="39" borderId="85" xfId="53" applyFont="1" applyFill="1" applyBorder="1" applyAlignment="1">
      <alignment horizontal="left" vertical="center"/>
      <protection/>
    </xf>
    <xf numFmtId="0" fontId="3" fillId="38" borderId="76" xfId="0" applyFont="1" applyFill="1" applyBorder="1" applyAlignment="1">
      <alignment horizontal="center" vertical="center" wrapText="1"/>
    </xf>
    <xf numFmtId="0" fontId="47" fillId="38" borderId="83" xfId="0" applyFont="1" applyFill="1" applyBorder="1" applyAlignment="1">
      <alignment horizontal="center"/>
    </xf>
    <xf numFmtId="0" fontId="4" fillId="38" borderId="87" xfId="0" applyFont="1" applyFill="1" applyBorder="1" applyAlignment="1">
      <alignment horizontal="center" vertical="center"/>
    </xf>
    <xf numFmtId="0" fontId="4" fillId="38" borderId="83" xfId="0" applyFont="1" applyFill="1" applyBorder="1" applyAlignment="1">
      <alignment horizontal="center" vertical="center"/>
    </xf>
    <xf numFmtId="0" fontId="47" fillId="38" borderId="83" xfId="0" applyFont="1" applyFill="1" applyBorder="1" applyAlignment="1">
      <alignment horizontal="center" vertical="center"/>
    </xf>
    <xf numFmtId="0" fontId="3" fillId="38" borderId="64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49" fontId="4" fillId="34" borderId="72" xfId="0" applyNumberFormat="1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47" fillId="34" borderId="73" xfId="0" applyFont="1" applyFill="1" applyBorder="1" applyAlignment="1">
      <alignment horizontal="center"/>
    </xf>
    <xf numFmtId="0" fontId="47" fillId="34" borderId="73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49" fontId="4" fillId="38" borderId="77" xfId="0" applyNumberFormat="1" applyFont="1" applyFill="1" applyBorder="1" applyAlignment="1">
      <alignment horizontal="center" vertical="center" wrapText="1"/>
    </xf>
    <xf numFmtId="49" fontId="4" fillId="38" borderId="63" xfId="0" applyNumberFormat="1" applyFont="1" applyFill="1" applyBorder="1" applyAlignment="1">
      <alignment horizontal="center" vertical="center" wrapText="1"/>
    </xf>
    <xf numFmtId="0" fontId="3" fillId="38" borderId="88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47" fillId="39" borderId="67" xfId="53" applyFont="1" applyFill="1" applyBorder="1" applyAlignment="1">
      <alignment horizontal="left" vertical="center"/>
      <protection/>
    </xf>
    <xf numFmtId="0" fontId="4" fillId="38" borderId="55" xfId="53" applyFont="1" applyFill="1" applyBorder="1" applyAlignment="1">
      <alignment/>
      <protection/>
    </xf>
    <xf numFmtId="0" fontId="47" fillId="34" borderId="24" xfId="0" applyFont="1" applyFill="1" applyBorder="1" applyAlignment="1">
      <alignment horizontal="center"/>
    </xf>
    <xf numFmtId="0" fontId="4" fillId="36" borderId="57" xfId="0" applyFont="1" applyFill="1" applyBorder="1" applyAlignment="1">
      <alignment horizontal="center" vertical="center"/>
    </xf>
    <xf numFmtId="0" fontId="47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75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35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74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68" xfId="0" applyNumberFormat="1" applyFont="1" applyBorder="1" applyAlignment="1" applyProtection="1">
      <alignment horizontal="center" vertical="center" textRotation="90" wrapText="1"/>
      <protection locked="0"/>
    </xf>
    <xf numFmtId="0" fontId="47" fillId="0" borderId="76" xfId="0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49" fontId="3" fillId="0" borderId="32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50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81" xfId="0" applyFont="1" applyBorder="1" applyAlignment="1">
      <alignment horizontal="center" vertical="center" textRotation="90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5"/>
  <sheetViews>
    <sheetView zoomScale="55" zoomScaleNormal="55" zoomScalePageLayoutView="0" workbookViewId="0" topLeftCell="A1">
      <selection activeCell="AA46" sqref="A1:AA46"/>
    </sheetView>
  </sheetViews>
  <sheetFormatPr defaultColWidth="9.140625" defaultRowHeight="15"/>
  <cols>
    <col min="2" max="2" width="6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292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313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1">F14+Q14</f>
        <v>78</v>
      </c>
      <c r="F14" s="11">
        <f aca="true" t="shared" si="1" ref="F14:F31">G14+K14+N14+M14</f>
        <v>34</v>
      </c>
      <c r="G14" s="147">
        <f>H14+I14+J14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1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148">
        <f aca="true" t="shared" si="3" ref="G15:G31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4" ref="Q15:Q31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4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148">
        <f t="shared" si="3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4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148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4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148">
        <f t="shared" si="3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4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232</v>
      </c>
      <c r="D20" s="12">
        <v>0</v>
      </c>
      <c r="E20" s="120">
        <f t="shared" si="0"/>
        <v>112</v>
      </c>
      <c r="F20" s="17">
        <f t="shared" si="1"/>
        <v>68</v>
      </c>
      <c r="G20" s="148">
        <f t="shared" si="3"/>
        <v>68</v>
      </c>
      <c r="H20" s="119"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4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t="shared" si="1"/>
        <v>50</v>
      </c>
      <c r="G21" s="148">
        <f t="shared" si="3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4"/>
        <v>66</v>
      </c>
      <c r="R21" s="15">
        <f t="shared" si="2"/>
        <v>66</v>
      </c>
      <c r="S21" s="16">
        <f>3*22</f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1"/>
        <v>34</v>
      </c>
      <c r="G22" s="148">
        <f t="shared" si="3"/>
        <v>34</v>
      </c>
      <c r="H22" s="16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4"/>
        <v>66</v>
      </c>
      <c r="R22" s="15">
        <f>S22+T22+U22</f>
        <v>66</v>
      </c>
      <c r="S22" s="16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1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4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1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4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1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4"/>
        <v>88</v>
      </c>
      <c r="R25" s="15">
        <f>S25+T25+U25</f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112</v>
      </c>
      <c r="D26" s="171">
        <v>0</v>
      </c>
      <c r="E26" s="172">
        <f t="shared" si="0"/>
        <v>112</v>
      </c>
      <c r="F26" s="184">
        <f t="shared" si="1"/>
        <v>68</v>
      </c>
      <c r="G26" s="149">
        <f t="shared" si="3"/>
        <v>68</v>
      </c>
      <c r="H26" s="98">
        <v>68</v>
      </c>
      <c r="I26" s="95"/>
      <c r="J26" s="96"/>
      <c r="K26" s="98"/>
      <c r="L26" s="95"/>
      <c r="M26" s="95"/>
      <c r="N26" s="95"/>
      <c r="O26" s="95"/>
      <c r="P26" s="96"/>
      <c r="Q26" s="165">
        <f t="shared" si="4"/>
        <v>44</v>
      </c>
      <c r="R26" s="97">
        <f>S26+T26+U26</f>
        <v>44</v>
      </c>
      <c r="S26" s="98"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339">
        <v>90</v>
      </c>
      <c r="D27" s="341">
        <f>E27/30</f>
        <v>3</v>
      </c>
      <c r="E27" s="7">
        <f t="shared" si="0"/>
        <v>90</v>
      </c>
      <c r="F27" s="11">
        <f t="shared" si="1"/>
        <v>90</v>
      </c>
      <c r="G27" s="267">
        <f t="shared" si="3"/>
        <v>34</v>
      </c>
      <c r="H27" s="10">
        <v>18</v>
      </c>
      <c r="I27" s="7"/>
      <c r="J27" s="8">
        <v>16</v>
      </c>
      <c r="K27" s="10">
        <v>56</v>
      </c>
      <c r="L27" s="7"/>
      <c r="M27" s="7"/>
      <c r="N27" s="7"/>
      <c r="O27" s="7"/>
      <c r="P27" s="8" t="s">
        <v>88</v>
      </c>
      <c r="Q27" s="163">
        <f t="shared" si="4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97</v>
      </c>
      <c r="C28" s="340">
        <v>90</v>
      </c>
      <c r="D28" s="342">
        <f>E28/30</f>
        <v>3</v>
      </c>
      <c r="E28" s="13">
        <f t="shared" si="0"/>
        <v>90</v>
      </c>
      <c r="F28" s="17">
        <f t="shared" si="1"/>
        <v>90</v>
      </c>
      <c r="G28" s="508">
        <f t="shared" si="3"/>
        <v>34</v>
      </c>
      <c r="H28" s="16">
        <v>18</v>
      </c>
      <c r="I28" s="13"/>
      <c r="J28" s="14">
        <v>16</v>
      </c>
      <c r="K28" s="16">
        <v>56</v>
      </c>
      <c r="L28" s="13"/>
      <c r="M28" s="13"/>
      <c r="N28" s="13"/>
      <c r="O28" s="13"/>
      <c r="P28" s="14" t="s">
        <v>91</v>
      </c>
      <c r="Q28" s="164">
        <f t="shared" si="4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138" t="s">
        <v>56</v>
      </c>
      <c r="B29" s="293" t="s">
        <v>314</v>
      </c>
      <c r="C29" s="340">
        <v>90</v>
      </c>
      <c r="D29" s="342">
        <f>E29/30</f>
        <v>3</v>
      </c>
      <c r="E29" s="13">
        <f t="shared" si="0"/>
        <v>90</v>
      </c>
      <c r="F29" s="17">
        <f t="shared" si="1"/>
        <v>0</v>
      </c>
      <c r="G29" s="508">
        <f t="shared" si="3"/>
        <v>0</v>
      </c>
      <c r="H29" s="16"/>
      <c r="I29" s="13"/>
      <c r="J29" s="14"/>
      <c r="K29" s="16"/>
      <c r="L29" s="13"/>
      <c r="M29" s="13"/>
      <c r="N29" s="13"/>
      <c r="O29" s="13"/>
      <c r="P29" s="14"/>
      <c r="Q29" s="164">
        <f t="shared" si="4"/>
        <v>90</v>
      </c>
      <c r="R29" s="15">
        <f t="shared" si="2"/>
        <v>44</v>
      </c>
      <c r="S29" s="16">
        <v>22</v>
      </c>
      <c r="T29" s="166"/>
      <c r="U29" s="298">
        <v>22</v>
      </c>
      <c r="V29" s="20">
        <v>46</v>
      </c>
      <c r="W29" s="13"/>
      <c r="X29" s="13"/>
      <c r="Y29" s="13"/>
      <c r="Z29" s="13"/>
      <c r="AA29" s="121" t="s">
        <v>67</v>
      </c>
    </row>
    <row r="30" spans="1:27" ht="20.25">
      <c r="A30" s="234" t="s">
        <v>57</v>
      </c>
      <c r="B30" s="156" t="s">
        <v>117</v>
      </c>
      <c r="C30" s="340">
        <v>90</v>
      </c>
      <c r="D30" s="342">
        <f>E30/30</f>
        <v>3</v>
      </c>
      <c r="E30" s="13">
        <f t="shared" si="0"/>
        <v>90</v>
      </c>
      <c r="F30" s="17">
        <f t="shared" si="1"/>
        <v>90</v>
      </c>
      <c r="G30" s="508">
        <f t="shared" si="3"/>
        <v>34</v>
      </c>
      <c r="H30" s="16">
        <v>18</v>
      </c>
      <c r="I30" s="13"/>
      <c r="J30" s="14">
        <v>16</v>
      </c>
      <c r="K30" s="16">
        <v>56</v>
      </c>
      <c r="L30" s="13"/>
      <c r="M30" s="13"/>
      <c r="N30" s="13"/>
      <c r="O30" s="13"/>
      <c r="P30" s="14" t="s">
        <v>91</v>
      </c>
      <c r="Q30" s="164">
        <f t="shared" si="4"/>
        <v>0</v>
      </c>
      <c r="R30" s="15">
        <f t="shared" si="2"/>
        <v>0</v>
      </c>
      <c r="S30" s="16"/>
      <c r="T30" s="166"/>
      <c r="U30" s="298"/>
      <c r="V30" s="20"/>
      <c r="W30" s="13"/>
      <c r="X30" s="13"/>
      <c r="Y30" s="13"/>
      <c r="Z30" s="13"/>
      <c r="AA30" s="121"/>
    </row>
    <row r="31" spans="1:27" ht="21" thickBot="1">
      <c r="A31" s="186" t="s">
        <v>143</v>
      </c>
      <c r="B31" s="157" t="s">
        <v>152</v>
      </c>
      <c r="C31" s="418">
        <v>105</v>
      </c>
      <c r="D31" s="410">
        <f>E31/30</f>
        <v>3.5</v>
      </c>
      <c r="E31" s="95">
        <f t="shared" si="0"/>
        <v>105</v>
      </c>
      <c r="F31" s="99">
        <f t="shared" si="1"/>
        <v>0</v>
      </c>
      <c r="G31" s="509">
        <f t="shared" si="3"/>
        <v>0</v>
      </c>
      <c r="H31" s="98"/>
      <c r="I31" s="95"/>
      <c r="J31" s="96"/>
      <c r="K31" s="98"/>
      <c r="L31" s="95"/>
      <c r="M31" s="95"/>
      <c r="N31" s="95"/>
      <c r="O31" s="95"/>
      <c r="P31" s="96"/>
      <c r="Q31" s="165">
        <f t="shared" si="4"/>
        <v>105</v>
      </c>
      <c r="R31" s="97">
        <f t="shared" si="2"/>
        <v>44</v>
      </c>
      <c r="S31" s="98">
        <v>22</v>
      </c>
      <c r="T31" s="250"/>
      <c r="U31" s="300">
        <v>22</v>
      </c>
      <c r="V31" s="162">
        <v>61</v>
      </c>
      <c r="W31" s="95"/>
      <c r="X31" s="95"/>
      <c r="Y31" s="95"/>
      <c r="Z31" s="95"/>
      <c r="AA31" s="107" t="s">
        <v>67</v>
      </c>
    </row>
    <row r="32" spans="1:27" ht="21" thickBot="1">
      <c r="A32" s="240"/>
      <c r="B32" s="241" t="s">
        <v>42</v>
      </c>
      <c r="C32" s="242">
        <f aca="true" t="shared" si="5" ref="C32:N32">SUM(C14:C31)</f>
        <v>2261</v>
      </c>
      <c r="D32" s="30">
        <f t="shared" si="5"/>
        <v>15.5</v>
      </c>
      <c r="E32" s="30">
        <f t="shared" si="5"/>
        <v>1639</v>
      </c>
      <c r="F32" s="30">
        <f t="shared" si="5"/>
        <v>762</v>
      </c>
      <c r="G32" s="242">
        <f t="shared" si="5"/>
        <v>594</v>
      </c>
      <c r="H32" s="242">
        <f t="shared" si="5"/>
        <v>520</v>
      </c>
      <c r="I32" s="242">
        <f t="shared" si="5"/>
        <v>10</v>
      </c>
      <c r="J32" s="242">
        <f t="shared" si="5"/>
        <v>64</v>
      </c>
      <c r="K32" s="242">
        <f t="shared" si="5"/>
        <v>168</v>
      </c>
      <c r="L32" s="242">
        <f t="shared" si="5"/>
        <v>0</v>
      </c>
      <c r="M32" s="242">
        <f t="shared" si="5"/>
        <v>0</v>
      </c>
      <c r="N32" s="242">
        <f t="shared" si="5"/>
        <v>0</v>
      </c>
      <c r="O32" s="242">
        <v>0</v>
      </c>
      <c r="P32" s="242">
        <v>3</v>
      </c>
      <c r="Q32" s="39">
        <f aca="true" t="shared" si="6" ref="Q32:Y32">SUM(Q14:Q31)</f>
        <v>877</v>
      </c>
      <c r="R32" s="39">
        <f t="shared" si="6"/>
        <v>770</v>
      </c>
      <c r="S32" s="39">
        <f t="shared" si="6"/>
        <v>706</v>
      </c>
      <c r="T32" s="39">
        <f t="shared" si="6"/>
        <v>10</v>
      </c>
      <c r="U32" s="39">
        <f t="shared" si="6"/>
        <v>54</v>
      </c>
      <c r="V32" s="39">
        <f t="shared" si="6"/>
        <v>107</v>
      </c>
      <c r="W32" s="39">
        <f t="shared" si="6"/>
        <v>0</v>
      </c>
      <c r="X32" s="39">
        <f t="shared" si="6"/>
        <v>0</v>
      </c>
      <c r="Y32" s="39">
        <f t="shared" si="6"/>
        <v>0</v>
      </c>
      <c r="Z32" s="39">
        <v>0</v>
      </c>
      <c r="AA32" s="39">
        <v>2</v>
      </c>
    </row>
    <row r="33" spans="1:27" ht="21" thickBot="1">
      <c r="A33" s="589"/>
      <c r="B33" s="40" t="s">
        <v>43</v>
      </c>
      <c r="C33" s="41"/>
      <c r="D33" s="42"/>
      <c r="E33" s="43"/>
      <c r="F33" s="44"/>
      <c r="G33" s="45">
        <f>G32/J10</f>
        <v>34.94117647058823</v>
      </c>
      <c r="H33" s="46"/>
      <c r="I33" s="47"/>
      <c r="J33" s="47"/>
      <c r="K33" s="47"/>
      <c r="L33" s="47"/>
      <c r="M33" s="47"/>
      <c r="N33" s="47"/>
      <c r="O33" s="48"/>
      <c r="P33" s="49"/>
      <c r="Q33" s="44"/>
      <c r="R33" s="50">
        <f>SUM(R14:R31)/U10</f>
        <v>35</v>
      </c>
      <c r="S33" s="51"/>
      <c r="T33" s="41"/>
      <c r="U33" s="41"/>
      <c r="V33" s="41"/>
      <c r="W33" s="41"/>
      <c r="X33" s="41"/>
      <c r="Y33" s="41"/>
      <c r="Z33" s="52"/>
      <c r="AA33" s="143"/>
    </row>
    <row r="34" spans="1:27" ht="21" thickBot="1">
      <c r="A34" s="590"/>
      <c r="B34" s="53" t="s">
        <v>44</v>
      </c>
      <c r="C34" s="43"/>
      <c r="D34" s="54"/>
      <c r="E34" s="43"/>
      <c r="F34" s="55"/>
      <c r="G34" s="56"/>
      <c r="H34" s="57"/>
      <c r="I34" s="43"/>
      <c r="J34" s="43"/>
      <c r="K34" s="43"/>
      <c r="L34" s="43"/>
      <c r="M34" s="43"/>
      <c r="N34" s="58"/>
      <c r="O34" s="39">
        <v>0</v>
      </c>
      <c r="P34" s="59"/>
      <c r="Q34" s="60"/>
      <c r="R34" s="61"/>
      <c r="S34" s="62"/>
      <c r="T34" s="62"/>
      <c r="U34" s="62"/>
      <c r="V34" s="62"/>
      <c r="W34" s="62"/>
      <c r="X34" s="62"/>
      <c r="Y34" s="58"/>
      <c r="Z34" s="39">
        <v>0</v>
      </c>
      <c r="AA34" s="144"/>
    </row>
    <row r="35" spans="1:27" ht="21" thickBot="1">
      <c r="A35" s="590"/>
      <c r="B35" s="53" t="s">
        <v>45</v>
      </c>
      <c r="C35" s="43"/>
      <c r="D35" s="54"/>
      <c r="E35" s="43"/>
      <c r="F35" s="55"/>
      <c r="G35" s="58"/>
      <c r="H35" s="57"/>
      <c r="I35" s="43"/>
      <c r="J35" s="43"/>
      <c r="K35" s="43"/>
      <c r="L35" s="63"/>
      <c r="M35" s="43"/>
      <c r="N35" s="62"/>
      <c r="O35" s="56"/>
      <c r="P35" s="39">
        <v>3</v>
      </c>
      <c r="Q35" s="60"/>
      <c r="R35" s="62"/>
      <c r="S35" s="62"/>
      <c r="T35" s="62"/>
      <c r="U35" s="62"/>
      <c r="V35" s="62"/>
      <c r="W35" s="64"/>
      <c r="X35" s="62"/>
      <c r="Y35" s="62"/>
      <c r="Z35" s="56"/>
      <c r="AA35" s="39">
        <v>2</v>
      </c>
    </row>
    <row r="36" spans="1:27" ht="21" thickBot="1">
      <c r="A36" s="590"/>
      <c r="B36" s="65" t="s">
        <v>46</v>
      </c>
      <c r="C36" s="63"/>
      <c r="D36" s="66"/>
      <c r="E36" s="63"/>
      <c r="F36" s="67"/>
      <c r="G36" s="66"/>
      <c r="H36" s="68"/>
      <c r="I36" s="69"/>
      <c r="J36" s="69"/>
      <c r="K36" s="70"/>
      <c r="L36" s="39">
        <f>COUNT(L14:L31)</f>
        <v>0</v>
      </c>
      <c r="M36" s="71"/>
      <c r="N36" s="72"/>
      <c r="O36" s="72"/>
      <c r="P36" s="73"/>
      <c r="Q36" s="74"/>
      <c r="R36" s="64"/>
      <c r="S36" s="64"/>
      <c r="T36" s="64"/>
      <c r="U36" s="64"/>
      <c r="V36" s="75"/>
      <c r="W36" s="39">
        <v>0</v>
      </c>
      <c r="X36" s="67"/>
      <c r="Y36" s="63"/>
      <c r="Z36" s="64"/>
      <c r="AA36" s="145"/>
    </row>
    <row r="37" spans="1:27" ht="21" thickBot="1">
      <c r="A37" s="591"/>
      <c r="B37" s="137" t="s">
        <v>47</v>
      </c>
      <c r="C37" s="77">
        <f>SUM(C33:C36)</f>
        <v>0</v>
      </c>
      <c r="D37" s="77">
        <f aca="true" t="shared" si="7" ref="D37:AA37">SUM(D33:D36)</f>
        <v>0</v>
      </c>
      <c r="E37" s="77">
        <f t="shared" si="7"/>
        <v>0</v>
      </c>
      <c r="F37" s="79">
        <f t="shared" si="7"/>
        <v>0</v>
      </c>
      <c r="G37" s="390">
        <f>SUM(G33:G36)</f>
        <v>34.94117647058823</v>
      </c>
      <c r="H37" s="38">
        <f t="shared" si="7"/>
        <v>0</v>
      </c>
      <c r="I37" s="31">
        <f t="shared" si="7"/>
        <v>0</v>
      </c>
      <c r="J37" s="31">
        <f t="shared" si="7"/>
        <v>0</v>
      </c>
      <c r="K37" s="32">
        <f t="shared" si="7"/>
        <v>0</v>
      </c>
      <c r="L37" s="39">
        <f t="shared" si="7"/>
        <v>0</v>
      </c>
      <c r="M37" s="38">
        <f t="shared" si="7"/>
        <v>0</v>
      </c>
      <c r="N37" s="31">
        <f t="shared" si="7"/>
        <v>0</v>
      </c>
      <c r="O37" s="31">
        <f t="shared" si="7"/>
        <v>0</v>
      </c>
      <c r="P37" s="31">
        <f t="shared" si="7"/>
        <v>3</v>
      </c>
      <c r="Q37" s="79">
        <f t="shared" si="7"/>
        <v>0</v>
      </c>
      <c r="R37" s="390">
        <f t="shared" si="7"/>
        <v>35</v>
      </c>
      <c r="S37" s="243">
        <f t="shared" si="7"/>
        <v>0</v>
      </c>
      <c r="T37" s="77">
        <f t="shared" si="7"/>
        <v>0</v>
      </c>
      <c r="U37" s="77">
        <f t="shared" si="7"/>
        <v>0</v>
      </c>
      <c r="V37" s="77">
        <f t="shared" si="7"/>
        <v>0</v>
      </c>
      <c r="W37" s="77">
        <f t="shared" si="7"/>
        <v>0</v>
      </c>
      <c r="X37" s="77">
        <f t="shared" si="7"/>
        <v>0</v>
      </c>
      <c r="Y37" s="77">
        <f t="shared" si="7"/>
        <v>0</v>
      </c>
      <c r="Z37" s="77">
        <f t="shared" si="7"/>
        <v>0</v>
      </c>
      <c r="AA37" s="146">
        <f t="shared" si="7"/>
        <v>2</v>
      </c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6.25">
      <c r="A41" s="1"/>
      <c r="B41" s="82" t="s">
        <v>60</v>
      </c>
      <c r="C41" s="82"/>
      <c r="D41" s="82"/>
      <c r="E41" s="82"/>
      <c r="F41" s="82"/>
      <c r="G41" s="82"/>
      <c r="H41" s="82"/>
      <c r="I41" s="82"/>
      <c r="J41" s="82"/>
      <c r="K41" s="82" t="s">
        <v>59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86"/>
      <c r="AA41" s="86"/>
    </row>
    <row r="42" spans="1:27" ht="26.25">
      <c r="A42" s="87"/>
      <c r="B42" s="592"/>
      <c r="C42" s="592"/>
      <c r="D42" s="592"/>
      <c r="E42" s="592"/>
      <c r="F42" s="592"/>
      <c r="G42" s="592"/>
      <c r="H42" s="592"/>
      <c r="I42" s="592"/>
      <c r="J42" s="592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49</v>
      </c>
      <c r="U42" s="91" t="s">
        <v>50</v>
      </c>
      <c r="V42" s="91"/>
      <c r="W42" s="91"/>
      <c r="X42" s="90"/>
      <c r="Y42" s="90"/>
      <c r="Z42" s="92"/>
      <c r="AA42" s="92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/>
      <c r="L43" s="82"/>
      <c r="M43" s="82"/>
      <c r="N43" s="82"/>
      <c r="O43" s="82"/>
      <c r="P43" s="82"/>
      <c r="Q43" s="82"/>
      <c r="R43" s="82"/>
      <c r="S43" s="82"/>
      <c r="T43" s="84"/>
      <c r="U43" s="84"/>
      <c r="V43" s="84"/>
      <c r="W43" s="84"/>
      <c r="X43" s="93"/>
      <c r="Y43" s="93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2" t="s">
        <v>51</v>
      </c>
      <c r="L44" s="82"/>
      <c r="M44" s="82"/>
      <c r="N44" s="82"/>
      <c r="O44" s="82"/>
      <c r="P44" s="82"/>
      <c r="Q44" s="82"/>
      <c r="R44" s="83"/>
      <c r="S44" s="83"/>
      <c r="T44" s="84"/>
      <c r="U44" s="85"/>
      <c r="V44" s="85"/>
      <c r="W44" s="85"/>
      <c r="X44" s="85"/>
      <c r="Y44" s="86"/>
      <c r="Z44" s="94"/>
      <c r="AA44" s="94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 t="s">
        <v>48</v>
      </c>
      <c r="S45" s="89"/>
      <c r="T45" s="90" t="s">
        <v>52</v>
      </c>
      <c r="U45" s="91" t="s">
        <v>50</v>
      </c>
      <c r="V45" s="91"/>
      <c r="W45" s="91"/>
      <c r="X45" s="90"/>
      <c r="Y45" s="90"/>
      <c r="Z45" s="94"/>
      <c r="AA45" s="94"/>
    </row>
  </sheetData>
  <sheetProtection/>
  <mergeCells count="42">
    <mergeCell ref="A33:A37"/>
    <mergeCell ref="B42:J42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2"/>
  <sheetViews>
    <sheetView zoomScale="44" zoomScaleNormal="44" zoomScalePageLayoutView="0" workbookViewId="0" topLeftCell="A7">
      <selection activeCell="V14" sqref="V14:V27"/>
    </sheetView>
  </sheetViews>
  <sheetFormatPr defaultColWidth="9.140625" defaultRowHeight="15"/>
  <cols>
    <col min="2" max="2" width="91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84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153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64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100" t="s">
        <v>28</v>
      </c>
      <c r="B14" s="139" t="s">
        <v>85</v>
      </c>
      <c r="C14" s="158">
        <v>75</v>
      </c>
      <c r="D14" s="6">
        <f>E14/30</f>
        <v>2.5</v>
      </c>
      <c r="E14" s="7">
        <f aca="true" t="shared" si="0" ref="E14:E27">F14+Q14</f>
        <v>75</v>
      </c>
      <c r="F14" s="8">
        <f>G14+K14+N14+M14</f>
        <v>0</v>
      </c>
      <c r="G14" s="9">
        <f>H14+I14+J14</f>
        <v>0</v>
      </c>
      <c r="H14" s="10"/>
      <c r="I14" s="7"/>
      <c r="J14" s="8"/>
      <c r="K14" s="10"/>
      <c r="L14" s="7"/>
      <c r="M14" s="7"/>
      <c r="N14" s="7"/>
      <c r="O14" s="7"/>
      <c r="P14" s="8"/>
      <c r="Q14" s="163">
        <f aca="true" t="shared" si="1" ref="Q14:Q24">V14+X14+Y14+R14</f>
        <v>75</v>
      </c>
      <c r="R14" s="9">
        <f aca="true" t="shared" si="2" ref="R14:R24">S14+T14+U14</f>
        <v>34</v>
      </c>
      <c r="S14" s="10">
        <v>24</v>
      </c>
      <c r="T14" s="7"/>
      <c r="U14" s="8">
        <v>10</v>
      </c>
      <c r="V14" s="10">
        <v>41</v>
      </c>
      <c r="W14" s="7"/>
      <c r="X14" s="7"/>
      <c r="Y14" s="7"/>
      <c r="Z14" s="7" t="s">
        <v>69</v>
      </c>
      <c r="AA14" s="11"/>
    </row>
    <row r="15" spans="1:27" ht="24.75" customHeight="1">
      <c r="A15" s="138" t="s">
        <v>29</v>
      </c>
      <c r="B15" s="102" t="s">
        <v>86</v>
      </c>
      <c r="C15" s="159">
        <v>60</v>
      </c>
      <c r="D15" s="12">
        <f aca="true" t="shared" si="3" ref="D15:D27">E15/30</f>
        <v>2</v>
      </c>
      <c r="E15" s="13">
        <f t="shared" si="0"/>
        <v>60</v>
      </c>
      <c r="F15" s="14">
        <f>G15+K15+N15+M15</f>
        <v>0</v>
      </c>
      <c r="G15" s="15">
        <f aca="true" t="shared" si="4" ref="G15:G27">H15+I15+J15</f>
        <v>0</v>
      </c>
      <c r="H15" s="16"/>
      <c r="I15" s="13"/>
      <c r="J15" s="14"/>
      <c r="K15" s="16"/>
      <c r="L15" s="13"/>
      <c r="M15" s="13"/>
      <c r="N15" s="13"/>
      <c r="O15" s="13"/>
      <c r="P15" s="14"/>
      <c r="Q15" s="164">
        <f t="shared" si="1"/>
        <v>60</v>
      </c>
      <c r="R15" s="15">
        <f t="shared" si="2"/>
        <v>34</v>
      </c>
      <c r="S15" s="16">
        <v>18</v>
      </c>
      <c r="T15" s="13"/>
      <c r="U15" s="14">
        <v>16</v>
      </c>
      <c r="V15" s="16">
        <v>26</v>
      </c>
      <c r="W15" s="13"/>
      <c r="X15" s="13"/>
      <c r="Y15" s="13"/>
      <c r="Z15" s="13"/>
      <c r="AA15" s="17" t="s">
        <v>67</v>
      </c>
    </row>
    <row r="16" spans="1:27" ht="24.75" customHeight="1">
      <c r="A16" s="138" t="s">
        <v>30</v>
      </c>
      <c r="B16" s="102" t="s">
        <v>87</v>
      </c>
      <c r="C16" s="159">
        <v>90</v>
      </c>
      <c r="D16" s="12">
        <f t="shared" si="3"/>
        <v>3</v>
      </c>
      <c r="E16" s="13">
        <f t="shared" si="0"/>
        <v>90</v>
      </c>
      <c r="F16" s="14">
        <f aca="true" t="shared" si="5" ref="F16:F28">G16+K16+N16+M16</f>
        <v>45</v>
      </c>
      <c r="G16" s="15">
        <f t="shared" si="4"/>
        <v>32</v>
      </c>
      <c r="H16" s="16">
        <v>16</v>
      </c>
      <c r="I16" s="13"/>
      <c r="J16" s="14">
        <v>16</v>
      </c>
      <c r="K16" s="16">
        <v>13</v>
      </c>
      <c r="L16" s="13"/>
      <c r="M16" s="13"/>
      <c r="N16" s="13"/>
      <c r="O16" s="13"/>
      <c r="P16" s="14" t="s">
        <v>88</v>
      </c>
      <c r="Q16" s="164">
        <f t="shared" si="1"/>
        <v>45</v>
      </c>
      <c r="R16" s="15">
        <f t="shared" si="2"/>
        <v>32</v>
      </c>
      <c r="S16" s="16">
        <v>16</v>
      </c>
      <c r="T16" s="13"/>
      <c r="U16" s="14">
        <v>16</v>
      </c>
      <c r="V16" s="16">
        <v>13</v>
      </c>
      <c r="W16" s="13"/>
      <c r="X16" s="13"/>
      <c r="Y16" s="13"/>
      <c r="Z16" s="13"/>
      <c r="AA16" s="17" t="s">
        <v>67</v>
      </c>
    </row>
    <row r="17" spans="1:27" s="239" customFormat="1" ht="24.75" customHeight="1">
      <c r="A17" s="234" t="s">
        <v>31</v>
      </c>
      <c r="B17" s="102" t="s">
        <v>89</v>
      </c>
      <c r="C17" s="235">
        <v>120</v>
      </c>
      <c r="D17" s="236">
        <f t="shared" si="3"/>
        <v>4</v>
      </c>
      <c r="E17" s="120">
        <f t="shared" si="0"/>
        <v>120</v>
      </c>
      <c r="F17" s="21">
        <f t="shared" si="5"/>
        <v>60</v>
      </c>
      <c r="G17" s="237">
        <f t="shared" si="4"/>
        <v>30</v>
      </c>
      <c r="H17" s="119"/>
      <c r="I17" s="120"/>
      <c r="J17" s="21">
        <v>30</v>
      </c>
      <c r="K17" s="119">
        <v>30</v>
      </c>
      <c r="L17" s="120"/>
      <c r="M17" s="120"/>
      <c r="N17" s="120"/>
      <c r="O17" s="120"/>
      <c r="P17" s="21" t="s">
        <v>67</v>
      </c>
      <c r="Q17" s="238">
        <f t="shared" si="1"/>
        <v>60</v>
      </c>
      <c r="R17" s="237">
        <f t="shared" si="2"/>
        <v>34</v>
      </c>
      <c r="S17" s="119"/>
      <c r="T17" s="120"/>
      <c r="U17" s="21">
        <v>34</v>
      </c>
      <c r="V17" s="119">
        <v>26</v>
      </c>
      <c r="W17" s="120"/>
      <c r="X17" s="120"/>
      <c r="Y17" s="120"/>
      <c r="Z17" s="120" t="s">
        <v>70</v>
      </c>
      <c r="AA17" s="121"/>
    </row>
    <row r="18" spans="1:27" s="239" customFormat="1" ht="24.75" customHeight="1">
      <c r="A18" s="234" t="s">
        <v>32</v>
      </c>
      <c r="B18" s="102" t="s">
        <v>90</v>
      </c>
      <c r="C18" s="235">
        <v>120</v>
      </c>
      <c r="D18" s="236">
        <f t="shared" si="3"/>
        <v>4</v>
      </c>
      <c r="E18" s="120">
        <f t="shared" si="0"/>
        <v>120</v>
      </c>
      <c r="F18" s="21">
        <f t="shared" si="5"/>
        <v>60</v>
      </c>
      <c r="G18" s="237">
        <f t="shared" si="4"/>
        <v>30</v>
      </c>
      <c r="H18" s="119"/>
      <c r="I18" s="120"/>
      <c r="J18" s="21">
        <v>30</v>
      </c>
      <c r="K18" s="119">
        <v>30</v>
      </c>
      <c r="L18" s="120"/>
      <c r="M18" s="120"/>
      <c r="N18" s="120"/>
      <c r="O18" s="120"/>
      <c r="P18" s="21" t="s">
        <v>91</v>
      </c>
      <c r="Q18" s="238">
        <f t="shared" si="1"/>
        <v>60</v>
      </c>
      <c r="R18" s="237">
        <f t="shared" si="2"/>
        <v>34</v>
      </c>
      <c r="S18" s="119"/>
      <c r="T18" s="120"/>
      <c r="U18" s="21">
        <v>34</v>
      </c>
      <c r="V18" s="119">
        <v>26</v>
      </c>
      <c r="W18" s="120"/>
      <c r="X18" s="120"/>
      <c r="Y18" s="120"/>
      <c r="Z18" s="120"/>
      <c r="AA18" s="121" t="s">
        <v>67</v>
      </c>
    </row>
    <row r="19" spans="1:27" s="239" customFormat="1" ht="24.75" customHeight="1">
      <c r="A19" s="234" t="s">
        <v>33</v>
      </c>
      <c r="B19" s="102" t="s">
        <v>92</v>
      </c>
      <c r="C19" s="235">
        <v>90</v>
      </c>
      <c r="D19" s="236">
        <f t="shared" si="3"/>
        <v>3</v>
      </c>
      <c r="E19" s="120">
        <f t="shared" si="0"/>
        <v>90</v>
      </c>
      <c r="F19" s="21">
        <f t="shared" si="5"/>
        <v>0</v>
      </c>
      <c r="G19" s="237">
        <f t="shared" si="4"/>
        <v>0</v>
      </c>
      <c r="H19" s="119"/>
      <c r="I19" s="120"/>
      <c r="J19" s="21"/>
      <c r="K19" s="119"/>
      <c r="L19" s="120"/>
      <c r="M19" s="120"/>
      <c r="N19" s="120"/>
      <c r="O19" s="120"/>
      <c r="P19" s="21"/>
      <c r="Q19" s="238">
        <f t="shared" si="1"/>
        <v>90</v>
      </c>
      <c r="R19" s="237">
        <f t="shared" si="2"/>
        <v>34</v>
      </c>
      <c r="S19" s="119">
        <v>18</v>
      </c>
      <c r="T19" s="120"/>
      <c r="U19" s="21">
        <v>16</v>
      </c>
      <c r="V19" s="119">
        <v>56</v>
      </c>
      <c r="W19" s="120"/>
      <c r="X19" s="120"/>
      <c r="Y19" s="120"/>
      <c r="Z19" s="120"/>
      <c r="AA19" s="121" t="s">
        <v>88</v>
      </c>
    </row>
    <row r="20" spans="1:27" ht="24.75" customHeight="1">
      <c r="A20" s="138" t="s">
        <v>34</v>
      </c>
      <c r="B20" s="102" t="s">
        <v>93</v>
      </c>
      <c r="C20" s="159">
        <v>105</v>
      </c>
      <c r="D20" s="12">
        <f t="shared" si="3"/>
        <v>3.5</v>
      </c>
      <c r="E20" s="13">
        <f t="shared" si="0"/>
        <v>105</v>
      </c>
      <c r="F20" s="14">
        <f t="shared" si="5"/>
        <v>105</v>
      </c>
      <c r="G20" s="15">
        <f t="shared" si="4"/>
        <v>46</v>
      </c>
      <c r="H20" s="16">
        <v>24</v>
      </c>
      <c r="I20" s="13"/>
      <c r="J20" s="14">
        <v>22</v>
      </c>
      <c r="K20" s="16">
        <v>59</v>
      </c>
      <c r="L20" s="13"/>
      <c r="M20" s="13"/>
      <c r="N20" s="13"/>
      <c r="O20" s="13" t="s">
        <v>70</v>
      </c>
      <c r="P20" s="14"/>
      <c r="Q20" s="164">
        <f t="shared" si="1"/>
        <v>0</v>
      </c>
      <c r="R20" s="15">
        <f t="shared" si="2"/>
        <v>0</v>
      </c>
      <c r="S20" s="16"/>
      <c r="T20" s="13"/>
      <c r="U20" s="14"/>
      <c r="V20" s="16"/>
      <c r="W20" s="13"/>
      <c r="X20" s="13"/>
      <c r="Y20" s="13"/>
      <c r="Z20" s="13"/>
      <c r="AA20" s="17"/>
    </row>
    <row r="21" spans="1:27" ht="24.75" customHeight="1">
      <c r="A21" s="138" t="s">
        <v>35</v>
      </c>
      <c r="B21" s="102" t="s">
        <v>94</v>
      </c>
      <c r="C21" s="159">
        <v>90</v>
      </c>
      <c r="D21" s="12">
        <f t="shared" si="3"/>
        <v>3</v>
      </c>
      <c r="E21" s="13">
        <f t="shared" si="0"/>
        <v>90</v>
      </c>
      <c r="F21" s="14">
        <f t="shared" si="5"/>
        <v>90</v>
      </c>
      <c r="G21" s="15">
        <f t="shared" si="4"/>
        <v>46</v>
      </c>
      <c r="H21" s="16">
        <v>24</v>
      </c>
      <c r="I21" s="13"/>
      <c r="J21" s="14">
        <v>22</v>
      </c>
      <c r="K21" s="16">
        <v>44</v>
      </c>
      <c r="L21" s="13"/>
      <c r="M21" s="13"/>
      <c r="N21" s="13"/>
      <c r="O21" s="13" t="s">
        <v>70</v>
      </c>
      <c r="P21" s="14"/>
      <c r="Q21" s="164">
        <f t="shared" si="1"/>
        <v>0</v>
      </c>
      <c r="R21" s="15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4.75" customHeight="1">
      <c r="A22" s="138" t="s">
        <v>36</v>
      </c>
      <c r="B22" s="151" t="s">
        <v>95</v>
      </c>
      <c r="C22" s="159">
        <v>150</v>
      </c>
      <c r="D22" s="12">
        <f t="shared" si="3"/>
        <v>5</v>
      </c>
      <c r="E22" s="13">
        <f t="shared" si="0"/>
        <v>150</v>
      </c>
      <c r="F22" s="14">
        <f t="shared" si="5"/>
        <v>75</v>
      </c>
      <c r="G22" s="15">
        <f t="shared" si="4"/>
        <v>44</v>
      </c>
      <c r="H22" s="160">
        <v>30</v>
      </c>
      <c r="I22" s="13"/>
      <c r="J22" s="14">
        <v>14</v>
      </c>
      <c r="K22" s="16">
        <f>75-44</f>
        <v>31</v>
      </c>
      <c r="L22" s="13"/>
      <c r="M22" s="13"/>
      <c r="N22" s="13"/>
      <c r="O22" s="13"/>
      <c r="P22" s="14" t="s">
        <v>67</v>
      </c>
      <c r="Q22" s="164">
        <f t="shared" si="1"/>
        <v>75</v>
      </c>
      <c r="R22" s="15">
        <f t="shared" si="2"/>
        <v>34</v>
      </c>
      <c r="S22" s="167">
        <v>18</v>
      </c>
      <c r="T22" s="13"/>
      <c r="U22" s="14">
        <v>16</v>
      </c>
      <c r="V22" s="16">
        <f>72-31</f>
        <v>41</v>
      </c>
      <c r="W22" s="13"/>
      <c r="X22" s="13"/>
      <c r="Y22" s="13"/>
      <c r="Z22" s="13" t="s">
        <v>70</v>
      </c>
      <c r="AA22" s="17"/>
    </row>
    <row r="23" spans="1:27" ht="24.75" customHeight="1">
      <c r="A23" s="138" t="s">
        <v>37</v>
      </c>
      <c r="B23" s="103" t="s">
        <v>96</v>
      </c>
      <c r="C23" s="159">
        <v>105</v>
      </c>
      <c r="D23" s="12">
        <f t="shared" si="3"/>
        <v>3.5</v>
      </c>
      <c r="E23" s="13">
        <f t="shared" si="0"/>
        <v>105</v>
      </c>
      <c r="F23" s="14">
        <f t="shared" si="5"/>
        <v>105</v>
      </c>
      <c r="G23" s="15">
        <f t="shared" si="4"/>
        <v>46</v>
      </c>
      <c r="H23" s="16">
        <v>24</v>
      </c>
      <c r="I23" s="13"/>
      <c r="J23" s="14">
        <v>22</v>
      </c>
      <c r="K23" s="16">
        <v>59</v>
      </c>
      <c r="L23" s="13"/>
      <c r="M23" s="13"/>
      <c r="N23" s="13"/>
      <c r="O23" s="13" t="s">
        <v>70</v>
      </c>
      <c r="P23" s="14"/>
      <c r="Q23" s="164">
        <f t="shared" si="1"/>
        <v>0</v>
      </c>
      <c r="R23" s="15">
        <f t="shared" si="2"/>
        <v>0</v>
      </c>
      <c r="S23" s="16"/>
      <c r="T23" s="166"/>
      <c r="U23" s="19"/>
      <c r="V23" s="20"/>
      <c r="W23" s="13"/>
      <c r="X23" s="13"/>
      <c r="Y23" s="13"/>
      <c r="Z23" s="13"/>
      <c r="AA23" s="121"/>
    </row>
    <row r="24" spans="1:27" ht="20.25">
      <c r="A24" s="138" t="s">
        <v>38</v>
      </c>
      <c r="B24" s="102" t="s">
        <v>97</v>
      </c>
      <c r="C24" s="159">
        <v>90</v>
      </c>
      <c r="D24" s="12">
        <f t="shared" si="3"/>
        <v>3</v>
      </c>
      <c r="E24" s="13">
        <f t="shared" si="0"/>
        <v>90</v>
      </c>
      <c r="F24" s="14">
        <f t="shared" si="5"/>
        <v>90</v>
      </c>
      <c r="G24" s="15">
        <f t="shared" si="4"/>
        <v>30</v>
      </c>
      <c r="H24" s="16">
        <v>18</v>
      </c>
      <c r="I24" s="18"/>
      <c r="J24" s="19">
        <v>12</v>
      </c>
      <c r="K24" s="20">
        <v>60</v>
      </c>
      <c r="L24" s="18"/>
      <c r="M24" s="18"/>
      <c r="N24" s="18"/>
      <c r="O24" s="13"/>
      <c r="P24" s="14" t="s">
        <v>91</v>
      </c>
      <c r="Q24" s="164">
        <f t="shared" si="1"/>
        <v>0</v>
      </c>
      <c r="R24" s="15">
        <f t="shared" si="2"/>
        <v>0</v>
      </c>
      <c r="S24" s="16"/>
      <c r="T24" s="18"/>
      <c r="U24" s="19"/>
      <c r="V24" s="20"/>
      <c r="W24" s="18"/>
      <c r="X24" s="18"/>
      <c r="Y24" s="18"/>
      <c r="Z24" s="13"/>
      <c r="AA24" s="17"/>
    </row>
    <row r="25" spans="1:27" ht="20.25">
      <c r="A25" s="213" t="s">
        <v>39</v>
      </c>
      <c r="B25" s="214" t="s">
        <v>99</v>
      </c>
      <c r="C25" s="170">
        <v>90</v>
      </c>
      <c r="D25" s="12">
        <f t="shared" si="3"/>
        <v>3</v>
      </c>
      <c r="E25" s="13">
        <f t="shared" si="0"/>
        <v>90</v>
      </c>
      <c r="F25" s="14">
        <f t="shared" si="5"/>
        <v>90</v>
      </c>
      <c r="G25" s="118">
        <f t="shared" si="4"/>
        <v>46</v>
      </c>
      <c r="H25" s="176">
        <v>16</v>
      </c>
      <c r="I25" s="177"/>
      <c r="J25" s="178">
        <v>30</v>
      </c>
      <c r="K25" s="182">
        <v>44</v>
      </c>
      <c r="L25" s="177"/>
      <c r="M25" s="177"/>
      <c r="N25" s="177"/>
      <c r="O25" s="172" t="s">
        <v>70</v>
      </c>
      <c r="P25" s="173"/>
      <c r="Q25" s="183"/>
      <c r="R25" s="118"/>
      <c r="S25" s="176"/>
      <c r="T25" s="177"/>
      <c r="U25" s="178"/>
      <c r="V25" s="182"/>
      <c r="W25" s="177"/>
      <c r="X25" s="177"/>
      <c r="Y25" s="177"/>
      <c r="Z25" s="172"/>
      <c r="AA25" s="184"/>
    </row>
    <row r="26" spans="1:27" ht="24.75" customHeight="1" thickBot="1">
      <c r="A26" s="212" t="s">
        <v>40</v>
      </c>
      <c r="B26" s="152" t="s">
        <v>98</v>
      </c>
      <c r="C26" s="170">
        <v>120</v>
      </c>
      <c r="D26" s="171">
        <f t="shared" si="3"/>
        <v>4</v>
      </c>
      <c r="E26" s="172">
        <f t="shared" si="0"/>
        <v>120</v>
      </c>
      <c r="F26" s="173">
        <f t="shared" si="5"/>
        <v>0</v>
      </c>
      <c r="G26" s="118">
        <f t="shared" si="4"/>
        <v>0</v>
      </c>
      <c r="H26" s="176"/>
      <c r="I26" s="177"/>
      <c r="J26" s="178"/>
      <c r="K26" s="182"/>
      <c r="L26" s="177"/>
      <c r="M26" s="177"/>
      <c r="N26" s="177"/>
      <c r="O26" s="177"/>
      <c r="P26" s="173"/>
      <c r="Q26" s="183">
        <f>V26+X26+Y26+R26</f>
        <v>120</v>
      </c>
      <c r="R26" s="118">
        <f>S26+T26+U26</f>
        <v>50</v>
      </c>
      <c r="S26" s="176">
        <v>26</v>
      </c>
      <c r="T26" s="177"/>
      <c r="U26" s="178">
        <v>24</v>
      </c>
      <c r="V26" s="182">
        <v>70</v>
      </c>
      <c r="W26" s="177"/>
      <c r="X26" s="177"/>
      <c r="Y26" s="177"/>
      <c r="Z26" s="177" t="s">
        <v>70</v>
      </c>
      <c r="AA26" s="184"/>
    </row>
    <row r="27" spans="1:27" ht="24.75" customHeight="1" thickBot="1">
      <c r="A27" s="215" t="s">
        <v>41</v>
      </c>
      <c r="B27" s="216" t="s">
        <v>135</v>
      </c>
      <c r="C27" s="217">
        <v>120</v>
      </c>
      <c r="D27" s="218">
        <f t="shared" si="3"/>
        <v>4</v>
      </c>
      <c r="E27" s="219">
        <f t="shared" si="0"/>
        <v>120</v>
      </c>
      <c r="F27" s="220">
        <f t="shared" si="5"/>
        <v>0</v>
      </c>
      <c r="G27" s="221">
        <f t="shared" si="4"/>
        <v>0</v>
      </c>
      <c r="H27" s="222"/>
      <c r="I27" s="219"/>
      <c r="J27" s="220"/>
      <c r="K27" s="222"/>
      <c r="L27" s="219"/>
      <c r="M27" s="219"/>
      <c r="N27" s="219"/>
      <c r="O27" s="219"/>
      <c r="P27" s="220"/>
      <c r="Q27" s="223">
        <f>V27+W27+X27+Y27+R27</f>
        <v>120</v>
      </c>
      <c r="R27" s="221">
        <f>S27+T27+U27</f>
        <v>68</v>
      </c>
      <c r="S27" s="222">
        <v>38</v>
      </c>
      <c r="T27" s="224"/>
      <c r="U27" s="225">
        <v>30</v>
      </c>
      <c r="V27" s="226">
        <v>52</v>
      </c>
      <c r="W27" s="219"/>
      <c r="X27" s="219"/>
      <c r="Y27" s="219"/>
      <c r="Z27" s="219"/>
      <c r="AA27" s="227" t="s">
        <v>67</v>
      </c>
    </row>
    <row r="28" spans="1:27" ht="24.75" customHeight="1" thickBot="1">
      <c r="A28" s="228" t="s">
        <v>55</v>
      </c>
      <c r="B28" s="229" t="s">
        <v>100</v>
      </c>
      <c r="C28" s="230">
        <v>135</v>
      </c>
      <c r="D28" s="231">
        <f>E28/30</f>
        <v>4.5</v>
      </c>
      <c r="E28" s="26">
        <f>F28+Q28</f>
        <v>135</v>
      </c>
      <c r="F28" s="27">
        <f t="shared" si="5"/>
        <v>0</v>
      </c>
      <c r="G28" s="135">
        <f>H28+I28+J28</f>
        <v>0</v>
      </c>
      <c r="H28" s="136"/>
      <c r="I28" s="26"/>
      <c r="J28" s="141"/>
      <c r="K28" s="232"/>
      <c r="L28" s="26"/>
      <c r="M28" s="26"/>
      <c r="N28" s="26"/>
      <c r="O28" s="26"/>
      <c r="P28" s="141"/>
      <c r="Q28" s="233">
        <f>V28+X28+Y28+R28</f>
        <v>135</v>
      </c>
      <c r="R28" s="135">
        <f>S28+T28+U28</f>
        <v>90</v>
      </c>
      <c r="S28" s="136"/>
      <c r="T28" s="26"/>
      <c r="U28" s="27">
        <v>90</v>
      </c>
      <c r="V28" s="136">
        <v>45</v>
      </c>
      <c r="W28" s="26"/>
      <c r="X28" s="26"/>
      <c r="Y28" s="26"/>
      <c r="Z28" s="26"/>
      <c r="AA28" s="141" t="s">
        <v>67</v>
      </c>
    </row>
    <row r="29" spans="1:27" ht="24.75" customHeight="1" thickBot="1">
      <c r="A29" s="28"/>
      <c r="B29" s="29" t="s">
        <v>42</v>
      </c>
      <c r="C29" s="30">
        <f>SUM(C14:C28)</f>
        <v>1560</v>
      </c>
      <c r="D29" s="31">
        <f>SUM(D14:D28)</f>
        <v>52</v>
      </c>
      <c r="E29" s="31">
        <f>SUM(E14:E28)</f>
        <v>1560</v>
      </c>
      <c r="F29" s="32">
        <f>SUM(F14:F28)</f>
        <v>720</v>
      </c>
      <c r="G29" s="33">
        <f>SUM(G14:G27)</f>
        <v>350</v>
      </c>
      <c r="H29" s="34">
        <f>SUM(H14:H28)</f>
        <v>152</v>
      </c>
      <c r="I29" s="35">
        <f>SUM(I14:I28)</f>
        <v>0</v>
      </c>
      <c r="J29" s="35">
        <f>SUM(J14:J28)</f>
        <v>198</v>
      </c>
      <c r="K29" s="35">
        <f>SUM(K14:K28)</f>
        <v>370</v>
      </c>
      <c r="L29" s="33">
        <f>COUNT(L14:L26)</f>
        <v>0</v>
      </c>
      <c r="M29" s="35">
        <f>SUM(M14:M28)</f>
        <v>0</v>
      </c>
      <c r="N29" s="35">
        <f>SUM(N14:N28)</f>
        <v>0</v>
      </c>
      <c r="O29" s="33">
        <v>4</v>
      </c>
      <c r="P29" s="33">
        <v>5</v>
      </c>
      <c r="Q29" s="33">
        <f>SUM(Q14:Q28)</f>
        <v>840</v>
      </c>
      <c r="R29" s="37">
        <f>SUM(R14:R27)</f>
        <v>354</v>
      </c>
      <c r="S29" s="38">
        <f aca="true" t="shared" si="6" ref="S29:Y29">SUM(S14:S28)</f>
        <v>158</v>
      </c>
      <c r="T29" s="31">
        <f t="shared" si="6"/>
        <v>0</v>
      </c>
      <c r="U29" s="31">
        <f t="shared" si="6"/>
        <v>286</v>
      </c>
      <c r="V29" s="31">
        <f t="shared" si="6"/>
        <v>396</v>
      </c>
      <c r="W29" s="31">
        <f t="shared" si="6"/>
        <v>0</v>
      </c>
      <c r="X29" s="31">
        <f t="shared" si="6"/>
        <v>0</v>
      </c>
      <c r="Y29" s="31">
        <f t="shared" si="6"/>
        <v>0</v>
      </c>
      <c r="Z29" s="31">
        <v>4</v>
      </c>
      <c r="AA29" s="142">
        <v>5</v>
      </c>
    </row>
    <row r="30" spans="1:27" ht="24.75" customHeight="1" thickBot="1">
      <c r="A30" s="589"/>
      <c r="B30" s="40" t="s">
        <v>43</v>
      </c>
      <c r="C30" s="41"/>
      <c r="D30" s="42"/>
      <c r="E30" s="43"/>
      <c r="F30" s="44"/>
      <c r="G30" s="45">
        <f>G29/J10</f>
        <v>23.333333333333332</v>
      </c>
      <c r="H30" s="46"/>
      <c r="I30" s="47"/>
      <c r="J30" s="47"/>
      <c r="K30" s="47"/>
      <c r="L30" s="47"/>
      <c r="M30" s="47"/>
      <c r="N30" s="47"/>
      <c r="O30" s="48"/>
      <c r="P30" s="49"/>
      <c r="Q30" s="44"/>
      <c r="R30" s="50">
        <f>SUM(R14:R27)/U10</f>
        <v>20.823529411764707</v>
      </c>
      <c r="S30" s="51"/>
      <c r="T30" s="41"/>
      <c r="U30" s="41"/>
      <c r="V30" s="41"/>
      <c r="W30" s="41"/>
      <c r="X30" s="41"/>
      <c r="Y30" s="41"/>
      <c r="Z30" s="52"/>
      <c r="AA30" s="143"/>
    </row>
    <row r="31" spans="1:27" ht="24.75" customHeight="1" thickBot="1">
      <c r="A31" s="590"/>
      <c r="B31" s="53" t="s">
        <v>44</v>
      </c>
      <c r="C31" s="43"/>
      <c r="D31" s="54"/>
      <c r="E31" s="43"/>
      <c r="F31" s="55"/>
      <c r="G31" s="56"/>
      <c r="H31" s="57"/>
      <c r="I31" s="43"/>
      <c r="J31" s="43"/>
      <c r="K31" s="43"/>
      <c r="L31" s="43"/>
      <c r="M31" s="43"/>
      <c r="N31" s="58"/>
      <c r="O31" s="39">
        <f>O29</f>
        <v>4</v>
      </c>
      <c r="P31" s="59"/>
      <c r="Q31" s="60"/>
      <c r="R31" s="61"/>
      <c r="S31" s="62"/>
      <c r="T31" s="62"/>
      <c r="U31" s="62"/>
      <c r="V31" s="62"/>
      <c r="W31" s="62"/>
      <c r="X31" s="62"/>
      <c r="Y31" s="58"/>
      <c r="Z31" s="39">
        <v>4</v>
      </c>
      <c r="AA31" s="144"/>
    </row>
    <row r="32" spans="1:27" ht="24.75" customHeight="1" thickBot="1">
      <c r="A32" s="590"/>
      <c r="B32" s="53" t="s">
        <v>45</v>
      </c>
      <c r="C32" s="43"/>
      <c r="D32" s="54"/>
      <c r="E32" s="43"/>
      <c r="F32" s="55"/>
      <c r="G32" s="58"/>
      <c r="H32" s="57"/>
      <c r="I32" s="43"/>
      <c r="J32" s="43"/>
      <c r="K32" s="43"/>
      <c r="L32" s="63"/>
      <c r="M32" s="43"/>
      <c r="N32" s="62"/>
      <c r="O32" s="56"/>
      <c r="P32" s="39">
        <v>5</v>
      </c>
      <c r="Q32" s="60"/>
      <c r="R32" s="62"/>
      <c r="S32" s="62"/>
      <c r="T32" s="62"/>
      <c r="U32" s="62"/>
      <c r="V32" s="62"/>
      <c r="W32" s="64"/>
      <c r="X32" s="62"/>
      <c r="Y32" s="62"/>
      <c r="Z32" s="56"/>
      <c r="AA32" s="39">
        <v>6</v>
      </c>
    </row>
    <row r="33" spans="1:27" ht="24.75" customHeight="1" thickBot="1">
      <c r="A33" s="590"/>
      <c r="B33" s="65" t="s">
        <v>46</v>
      </c>
      <c r="C33" s="63"/>
      <c r="D33" s="66"/>
      <c r="E33" s="63"/>
      <c r="F33" s="67"/>
      <c r="G33" s="66"/>
      <c r="H33" s="68"/>
      <c r="I33" s="69"/>
      <c r="J33" s="69"/>
      <c r="K33" s="70"/>
      <c r="L33" s="39">
        <f>COUNT(L14:L26)</f>
        <v>0</v>
      </c>
      <c r="M33" s="71"/>
      <c r="N33" s="72"/>
      <c r="O33" s="72"/>
      <c r="P33" s="73"/>
      <c r="Q33" s="74"/>
      <c r="R33" s="64"/>
      <c r="S33" s="64"/>
      <c r="T33" s="64"/>
      <c r="U33" s="64"/>
      <c r="V33" s="75"/>
      <c r="W33" s="76">
        <v>0</v>
      </c>
      <c r="X33" s="67"/>
      <c r="Y33" s="63"/>
      <c r="Z33" s="64"/>
      <c r="AA33" s="145"/>
    </row>
    <row r="34" spans="1:27" ht="24.75" customHeight="1" thickBot="1">
      <c r="A34" s="591"/>
      <c r="B34" s="137" t="s">
        <v>47</v>
      </c>
      <c r="C34" s="77">
        <f>SUM(C30:C33)</f>
        <v>0</v>
      </c>
      <c r="D34" s="77">
        <f aca="true" t="shared" si="7" ref="D34:AA34">SUM(D30:D33)</f>
        <v>0</v>
      </c>
      <c r="E34" s="77">
        <f t="shared" si="7"/>
        <v>0</v>
      </c>
      <c r="F34" s="77">
        <f t="shared" si="7"/>
        <v>0</v>
      </c>
      <c r="G34" s="78">
        <f>SUM(G30:G33)</f>
        <v>23.333333333333332</v>
      </c>
      <c r="H34" s="31">
        <f t="shared" si="7"/>
        <v>0</v>
      </c>
      <c r="I34" s="31">
        <f t="shared" si="7"/>
        <v>0</v>
      </c>
      <c r="J34" s="31">
        <f t="shared" si="7"/>
        <v>0</v>
      </c>
      <c r="K34" s="32">
        <f t="shared" si="7"/>
        <v>0</v>
      </c>
      <c r="L34" s="39">
        <f t="shared" si="7"/>
        <v>0</v>
      </c>
      <c r="M34" s="38">
        <f t="shared" si="7"/>
        <v>0</v>
      </c>
      <c r="N34" s="31">
        <f t="shared" si="7"/>
        <v>0</v>
      </c>
      <c r="O34" s="31">
        <f t="shared" si="7"/>
        <v>4</v>
      </c>
      <c r="P34" s="31">
        <f t="shared" si="7"/>
        <v>5</v>
      </c>
      <c r="Q34" s="77">
        <f t="shared" si="7"/>
        <v>0</v>
      </c>
      <c r="R34" s="78">
        <f t="shared" si="7"/>
        <v>20.823529411764707</v>
      </c>
      <c r="S34" s="77">
        <f t="shared" si="7"/>
        <v>0</v>
      </c>
      <c r="T34" s="77">
        <f t="shared" si="7"/>
        <v>0</v>
      </c>
      <c r="U34" s="77">
        <f t="shared" si="7"/>
        <v>0</v>
      </c>
      <c r="V34" s="77">
        <f t="shared" si="7"/>
        <v>0</v>
      </c>
      <c r="W34" s="77">
        <f t="shared" si="7"/>
        <v>0</v>
      </c>
      <c r="X34" s="77">
        <f t="shared" si="7"/>
        <v>0</v>
      </c>
      <c r="Y34" s="77">
        <f t="shared" si="7"/>
        <v>0</v>
      </c>
      <c r="Z34" s="77">
        <f t="shared" si="7"/>
        <v>4</v>
      </c>
      <c r="AA34" s="146">
        <f t="shared" si="7"/>
        <v>6</v>
      </c>
    </row>
    <row r="35" spans="1:27" ht="24.75" customHeight="1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6.25">
      <c r="A38" s="1"/>
      <c r="B38" s="82" t="s">
        <v>60</v>
      </c>
      <c r="C38" s="82"/>
      <c r="D38" s="82"/>
      <c r="E38" s="82"/>
      <c r="F38" s="82"/>
      <c r="G38" s="82"/>
      <c r="H38" s="82"/>
      <c r="I38" s="82"/>
      <c r="J38" s="82"/>
      <c r="K38" s="82" t="s">
        <v>59</v>
      </c>
      <c r="L38" s="82"/>
      <c r="M38" s="82"/>
      <c r="N38" s="82"/>
      <c r="O38" s="82"/>
      <c r="P38" s="82"/>
      <c r="Q38" s="82"/>
      <c r="R38" s="83"/>
      <c r="S38" s="83"/>
      <c r="T38" s="84"/>
      <c r="U38" s="85"/>
      <c r="V38" s="85"/>
      <c r="W38" s="85"/>
      <c r="X38" s="85"/>
      <c r="Y38" s="86"/>
      <c r="Z38" s="86"/>
      <c r="AA38" s="86"/>
    </row>
    <row r="39" spans="1:27" ht="26.25">
      <c r="A39" s="87"/>
      <c r="B39" s="592"/>
      <c r="C39" s="592"/>
      <c r="D39" s="592"/>
      <c r="E39" s="592"/>
      <c r="F39" s="592"/>
      <c r="G39" s="592"/>
      <c r="H39" s="592"/>
      <c r="I39" s="592"/>
      <c r="J39" s="592"/>
      <c r="K39" s="87"/>
      <c r="L39" s="87"/>
      <c r="M39" s="87"/>
      <c r="N39" s="87"/>
      <c r="O39" s="87"/>
      <c r="P39" s="87"/>
      <c r="Q39" s="87"/>
      <c r="R39" s="87" t="s">
        <v>48</v>
      </c>
      <c r="S39" s="89"/>
      <c r="T39" s="90" t="s">
        <v>49</v>
      </c>
      <c r="U39" s="91" t="s">
        <v>50</v>
      </c>
      <c r="V39" s="91"/>
      <c r="W39" s="91"/>
      <c r="X39" s="90"/>
      <c r="Y39" s="90"/>
      <c r="Z39" s="92"/>
      <c r="AA39" s="92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/>
      <c r="L40" s="82"/>
      <c r="M40" s="82"/>
      <c r="N40" s="82"/>
      <c r="O40" s="82"/>
      <c r="P40" s="82"/>
      <c r="Q40" s="82"/>
      <c r="R40" s="82"/>
      <c r="S40" s="82"/>
      <c r="T40" s="84"/>
      <c r="U40" s="84"/>
      <c r="V40" s="84"/>
      <c r="W40" s="84"/>
      <c r="X40" s="93"/>
      <c r="Y40" s="93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 t="s">
        <v>51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52</v>
      </c>
      <c r="U42" s="91" t="s">
        <v>50</v>
      </c>
      <c r="V42" s="91"/>
      <c r="W42" s="91"/>
      <c r="X42" s="90"/>
      <c r="Y42" s="90"/>
      <c r="Z42" s="94"/>
      <c r="AA42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0:A34"/>
    <mergeCell ref="B39:J39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2"/>
  <sheetViews>
    <sheetView zoomScale="55" zoomScaleNormal="55" zoomScalePageLayoutView="0" workbookViewId="0" topLeftCell="A14">
      <selection activeCell="N31" sqref="N31"/>
    </sheetView>
  </sheetViews>
  <sheetFormatPr defaultColWidth="9.140625" defaultRowHeight="15"/>
  <cols>
    <col min="2" max="2" width="71.57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161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199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328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16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s="239" customFormat="1" ht="20.25">
      <c r="A14" s="422" t="s">
        <v>28</v>
      </c>
      <c r="B14" s="334" t="s">
        <v>130</v>
      </c>
      <c r="C14" s="383">
        <v>45</v>
      </c>
      <c r="D14" s="423">
        <f>E14/30</f>
        <v>1.5</v>
      </c>
      <c r="E14" s="424">
        <f aca="true" t="shared" si="0" ref="E14:E28">F14+Q14</f>
        <v>45</v>
      </c>
      <c r="F14" s="425">
        <f>G14+K14+N14+M14</f>
        <v>45</v>
      </c>
      <c r="G14" s="426">
        <f>H14+I14+J14</f>
        <v>30</v>
      </c>
      <c r="H14" s="427">
        <v>2</v>
      </c>
      <c r="I14" s="424"/>
      <c r="J14" s="425">
        <v>28</v>
      </c>
      <c r="K14" s="427">
        <v>15</v>
      </c>
      <c r="L14" s="424"/>
      <c r="M14" s="424"/>
      <c r="N14" s="424"/>
      <c r="O14" s="424" t="s">
        <v>69</v>
      </c>
      <c r="P14" s="425"/>
      <c r="Q14" s="428">
        <f aca="true" t="shared" si="1" ref="Q14:Q26">V14+X14+Y14+R14</f>
        <v>0</v>
      </c>
      <c r="R14" s="426">
        <f aca="true" t="shared" si="2" ref="R14:R28">S14+T14+U14</f>
        <v>0</v>
      </c>
      <c r="S14" s="427"/>
      <c r="T14" s="424"/>
      <c r="U14" s="425"/>
      <c r="V14" s="427"/>
      <c r="W14" s="424"/>
      <c r="X14" s="424"/>
      <c r="Y14" s="424"/>
      <c r="Z14" s="424"/>
      <c r="AA14" s="322"/>
    </row>
    <row r="15" spans="1:27" s="239" customFormat="1" ht="40.5">
      <c r="A15" s="336" t="s">
        <v>29</v>
      </c>
      <c r="B15" s="323" t="s">
        <v>86</v>
      </c>
      <c r="C15" s="235">
        <v>45</v>
      </c>
      <c r="D15" s="236">
        <f aca="true" t="shared" si="3" ref="D15:D27">E15/30</f>
        <v>1.5</v>
      </c>
      <c r="E15" s="120">
        <f t="shared" si="0"/>
        <v>45</v>
      </c>
      <c r="F15" s="21">
        <f>G15+K15+N15+M15</f>
        <v>45</v>
      </c>
      <c r="G15" s="237">
        <f aca="true" t="shared" si="4" ref="G15:G28">H15+I15+J15</f>
        <v>30</v>
      </c>
      <c r="H15" s="119">
        <v>14</v>
      </c>
      <c r="I15" s="120"/>
      <c r="J15" s="21">
        <v>16</v>
      </c>
      <c r="K15" s="119">
        <v>15</v>
      </c>
      <c r="L15" s="120"/>
      <c r="M15" s="120"/>
      <c r="N15" s="120"/>
      <c r="O15" s="120"/>
      <c r="P15" s="21" t="s">
        <v>67</v>
      </c>
      <c r="Q15" s="238">
        <f t="shared" si="1"/>
        <v>0</v>
      </c>
      <c r="R15" s="237">
        <f t="shared" si="2"/>
        <v>0</v>
      </c>
      <c r="S15" s="119"/>
      <c r="T15" s="120"/>
      <c r="U15" s="21"/>
      <c r="V15" s="119"/>
      <c r="W15" s="120"/>
      <c r="X15" s="120"/>
      <c r="Y15" s="120"/>
      <c r="Z15" s="120"/>
      <c r="AA15" s="121"/>
    </row>
    <row r="16" spans="1:27" ht="20.25">
      <c r="A16" s="326" t="s">
        <v>30</v>
      </c>
      <c r="B16" s="323" t="s">
        <v>131</v>
      </c>
      <c r="C16" s="159">
        <v>180</v>
      </c>
      <c r="D16" s="12">
        <f t="shared" si="3"/>
        <v>6</v>
      </c>
      <c r="E16" s="13">
        <f t="shared" si="0"/>
        <v>180</v>
      </c>
      <c r="F16" s="14">
        <f aca="true" t="shared" si="5" ref="F16:F27">G16+K16+N16+M16</f>
        <v>75</v>
      </c>
      <c r="G16" s="15">
        <f t="shared" si="4"/>
        <v>30</v>
      </c>
      <c r="H16" s="16"/>
      <c r="I16" s="13"/>
      <c r="J16" s="14">
        <v>30</v>
      </c>
      <c r="K16" s="16">
        <v>45</v>
      </c>
      <c r="L16" s="13"/>
      <c r="M16" s="13"/>
      <c r="N16" s="13"/>
      <c r="O16" s="13"/>
      <c r="P16" s="14" t="s">
        <v>67</v>
      </c>
      <c r="Q16" s="164">
        <f t="shared" si="1"/>
        <v>105</v>
      </c>
      <c r="R16" s="15">
        <f t="shared" si="2"/>
        <v>48</v>
      </c>
      <c r="S16" s="16"/>
      <c r="T16" s="13"/>
      <c r="U16" s="14">
        <f>16*3</f>
        <v>48</v>
      </c>
      <c r="V16" s="16">
        <f>102-45</f>
        <v>57</v>
      </c>
      <c r="W16" s="13"/>
      <c r="X16" s="13"/>
      <c r="Y16" s="13"/>
      <c r="Z16" s="13" t="s">
        <v>70</v>
      </c>
      <c r="AA16" s="17"/>
    </row>
    <row r="17" spans="1:27" ht="20.25">
      <c r="A17" s="326" t="s">
        <v>31</v>
      </c>
      <c r="B17" s="323" t="s">
        <v>132</v>
      </c>
      <c r="C17" s="159">
        <v>180</v>
      </c>
      <c r="D17" s="12"/>
      <c r="E17" s="13">
        <f t="shared" si="0"/>
        <v>180</v>
      </c>
      <c r="F17" s="14">
        <f t="shared" si="5"/>
        <v>90</v>
      </c>
      <c r="G17" s="15">
        <f t="shared" si="4"/>
        <v>30</v>
      </c>
      <c r="H17" s="16"/>
      <c r="I17" s="13"/>
      <c r="J17" s="14">
        <v>30</v>
      </c>
      <c r="K17" s="16">
        <v>60</v>
      </c>
      <c r="L17" s="13"/>
      <c r="M17" s="13"/>
      <c r="N17" s="13"/>
      <c r="O17" s="13"/>
      <c r="P17" s="14" t="s">
        <v>67</v>
      </c>
      <c r="Q17" s="164">
        <f t="shared" si="1"/>
        <v>90</v>
      </c>
      <c r="R17" s="15">
        <f t="shared" si="2"/>
        <v>32</v>
      </c>
      <c r="S17" s="16"/>
      <c r="T17" s="13"/>
      <c r="U17" s="14">
        <f>16*2</f>
        <v>32</v>
      </c>
      <c r="V17" s="16">
        <f>118-60</f>
        <v>58</v>
      </c>
      <c r="W17" s="13"/>
      <c r="X17" s="13"/>
      <c r="Y17" s="13"/>
      <c r="Z17" s="13"/>
      <c r="AA17" s="17" t="s">
        <v>67</v>
      </c>
    </row>
    <row r="18" spans="1:27" ht="20.25">
      <c r="A18" s="326" t="s">
        <v>32</v>
      </c>
      <c r="B18" s="323" t="s">
        <v>200</v>
      </c>
      <c r="C18" s="159">
        <v>90</v>
      </c>
      <c r="D18" s="12">
        <f t="shared" si="3"/>
        <v>3</v>
      </c>
      <c r="E18" s="13">
        <f t="shared" si="0"/>
        <v>90</v>
      </c>
      <c r="F18" s="14">
        <f t="shared" si="5"/>
        <v>90</v>
      </c>
      <c r="G18" s="15">
        <f t="shared" si="4"/>
        <v>60</v>
      </c>
      <c r="H18" s="16">
        <v>40</v>
      </c>
      <c r="I18" s="13"/>
      <c r="J18" s="14">
        <v>20</v>
      </c>
      <c r="K18" s="16">
        <v>30</v>
      </c>
      <c r="L18" s="13"/>
      <c r="M18" s="13"/>
      <c r="N18" s="13"/>
      <c r="O18" s="13"/>
      <c r="P18" s="14" t="s">
        <v>67</v>
      </c>
      <c r="Q18" s="164">
        <f t="shared" si="1"/>
        <v>0</v>
      </c>
      <c r="R18" s="15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0.25">
      <c r="A19" s="326" t="s">
        <v>33</v>
      </c>
      <c r="B19" s="323" t="s">
        <v>201</v>
      </c>
      <c r="C19" s="159">
        <v>90</v>
      </c>
      <c r="D19" s="12">
        <f t="shared" si="3"/>
        <v>3</v>
      </c>
      <c r="E19" s="13">
        <f t="shared" si="0"/>
        <v>90</v>
      </c>
      <c r="F19" s="14">
        <f t="shared" si="5"/>
        <v>90</v>
      </c>
      <c r="G19" s="15">
        <f t="shared" si="4"/>
        <v>60</v>
      </c>
      <c r="H19" s="16">
        <v>40</v>
      </c>
      <c r="I19" s="13"/>
      <c r="J19" s="14">
        <v>20</v>
      </c>
      <c r="K19" s="16">
        <v>30</v>
      </c>
      <c r="L19" s="13"/>
      <c r="M19" s="13"/>
      <c r="N19" s="13"/>
      <c r="O19" s="13"/>
      <c r="P19" s="14" t="s">
        <v>67</v>
      </c>
      <c r="Q19" s="164">
        <f t="shared" si="1"/>
        <v>0</v>
      </c>
      <c r="R19" s="15">
        <f t="shared" si="2"/>
        <v>0</v>
      </c>
      <c r="S19" s="16"/>
      <c r="T19" s="13"/>
      <c r="U19" s="14"/>
      <c r="V19" s="16"/>
      <c r="W19" s="13"/>
      <c r="X19" s="13"/>
      <c r="Y19" s="13"/>
      <c r="Z19" s="13"/>
      <c r="AA19" s="17"/>
    </row>
    <row r="20" spans="1:27" ht="20.25">
      <c r="A20" s="326" t="s">
        <v>34</v>
      </c>
      <c r="B20" s="323" t="s">
        <v>175</v>
      </c>
      <c r="C20" s="159">
        <v>90</v>
      </c>
      <c r="D20" s="12">
        <f t="shared" si="3"/>
        <v>3</v>
      </c>
      <c r="E20" s="13">
        <f t="shared" si="0"/>
        <v>90</v>
      </c>
      <c r="F20" s="14">
        <f t="shared" si="5"/>
        <v>0</v>
      </c>
      <c r="G20" s="15">
        <f t="shared" si="4"/>
        <v>0</v>
      </c>
      <c r="H20" s="16"/>
      <c r="I20" s="13"/>
      <c r="J20" s="14"/>
      <c r="K20" s="16"/>
      <c r="L20" s="13"/>
      <c r="M20" s="13"/>
      <c r="N20" s="13"/>
      <c r="O20" s="13"/>
      <c r="P20" s="14"/>
      <c r="Q20" s="164">
        <f t="shared" si="1"/>
        <v>90</v>
      </c>
      <c r="R20" s="15">
        <f t="shared" si="2"/>
        <v>64</v>
      </c>
      <c r="S20" s="16">
        <v>34</v>
      </c>
      <c r="T20" s="13"/>
      <c r="U20" s="14">
        <v>30</v>
      </c>
      <c r="V20" s="16">
        <v>26</v>
      </c>
      <c r="W20" s="13"/>
      <c r="X20" s="13"/>
      <c r="Y20" s="13"/>
      <c r="Z20" s="13" t="s">
        <v>70</v>
      </c>
      <c r="AA20" s="17"/>
    </row>
    <row r="21" spans="1:27" ht="20.25">
      <c r="A21" s="326" t="s">
        <v>35</v>
      </c>
      <c r="B21" s="323" t="s">
        <v>180</v>
      </c>
      <c r="C21" s="159">
        <v>75</v>
      </c>
      <c r="D21" s="12">
        <f t="shared" si="3"/>
        <v>2.5</v>
      </c>
      <c r="E21" s="13">
        <f t="shared" si="0"/>
        <v>75</v>
      </c>
      <c r="F21" s="14">
        <f t="shared" si="5"/>
        <v>0</v>
      </c>
      <c r="G21" s="15">
        <f t="shared" si="4"/>
        <v>0</v>
      </c>
      <c r="H21" s="16"/>
      <c r="I21" s="13"/>
      <c r="J21" s="14"/>
      <c r="K21" s="16"/>
      <c r="L21" s="13"/>
      <c r="M21" s="13"/>
      <c r="N21" s="13"/>
      <c r="O21" s="13"/>
      <c r="P21" s="14"/>
      <c r="Q21" s="164">
        <f t="shared" si="1"/>
        <v>75</v>
      </c>
      <c r="R21" s="15">
        <f t="shared" si="2"/>
        <v>32</v>
      </c>
      <c r="S21" s="16">
        <v>16</v>
      </c>
      <c r="T21" s="13"/>
      <c r="U21" s="14">
        <v>16</v>
      </c>
      <c r="V21" s="16">
        <v>43</v>
      </c>
      <c r="W21" s="13"/>
      <c r="X21" s="13"/>
      <c r="Y21" s="13"/>
      <c r="Z21" s="13"/>
      <c r="AA21" s="17" t="s">
        <v>67</v>
      </c>
    </row>
    <row r="22" spans="1:27" ht="20.25">
      <c r="A22" s="326" t="s">
        <v>36</v>
      </c>
      <c r="B22" s="324" t="s">
        <v>179</v>
      </c>
      <c r="C22" s="159">
        <v>180</v>
      </c>
      <c r="D22" s="12">
        <f t="shared" si="3"/>
        <v>6</v>
      </c>
      <c r="E22" s="13">
        <f t="shared" si="0"/>
        <v>180</v>
      </c>
      <c r="F22" s="14">
        <f t="shared" si="5"/>
        <v>180</v>
      </c>
      <c r="G22" s="15">
        <f t="shared" si="4"/>
        <v>90</v>
      </c>
      <c r="H22" s="160">
        <v>46</v>
      </c>
      <c r="I22" s="13"/>
      <c r="J22" s="14">
        <v>44</v>
      </c>
      <c r="K22" s="16">
        <v>90</v>
      </c>
      <c r="L22" s="13"/>
      <c r="M22" s="13"/>
      <c r="N22" s="13"/>
      <c r="O22" s="13" t="s">
        <v>70</v>
      </c>
      <c r="P22" s="14"/>
      <c r="Q22" s="164">
        <f t="shared" si="1"/>
        <v>0</v>
      </c>
      <c r="R22" s="15">
        <f t="shared" si="2"/>
        <v>0</v>
      </c>
      <c r="S22" s="167"/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326" t="s">
        <v>37</v>
      </c>
      <c r="B23" s="429" t="s">
        <v>178</v>
      </c>
      <c r="C23" s="159">
        <v>150</v>
      </c>
      <c r="D23" s="12">
        <f t="shared" si="3"/>
        <v>5</v>
      </c>
      <c r="E23" s="13">
        <f t="shared" si="0"/>
        <v>150</v>
      </c>
      <c r="F23" s="14">
        <f t="shared" si="5"/>
        <v>0</v>
      </c>
      <c r="G23" s="15">
        <f t="shared" si="4"/>
        <v>0</v>
      </c>
      <c r="H23" s="16"/>
      <c r="I23" s="13"/>
      <c r="J23" s="14"/>
      <c r="K23" s="16"/>
      <c r="L23" s="13"/>
      <c r="M23" s="13"/>
      <c r="N23" s="13"/>
      <c r="O23" s="13"/>
      <c r="P23" s="14"/>
      <c r="Q23" s="164">
        <f t="shared" si="1"/>
        <v>150</v>
      </c>
      <c r="R23" s="15">
        <f t="shared" si="2"/>
        <v>80</v>
      </c>
      <c r="S23" s="16">
        <v>48</v>
      </c>
      <c r="T23" s="166"/>
      <c r="U23" s="19">
        <v>32</v>
      </c>
      <c r="V23" s="20">
        <v>70</v>
      </c>
      <c r="W23" s="13"/>
      <c r="X23" s="13"/>
      <c r="Y23" s="13"/>
      <c r="Z23" s="13"/>
      <c r="AA23" s="121" t="s">
        <v>67</v>
      </c>
    </row>
    <row r="24" spans="1:27" ht="20.25">
      <c r="A24" s="326" t="s">
        <v>38</v>
      </c>
      <c r="B24" s="325" t="s">
        <v>182</v>
      </c>
      <c r="C24" s="159">
        <v>150</v>
      </c>
      <c r="D24" s="12">
        <f t="shared" si="3"/>
        <v>5</v>
      </c>
      <c r="E24" s="13">
        <f t="shared" si="0"/>
        <v>150</v>
      </c>
      <c r="F24" s="14">
        <f t="shared" si="5"/>
        <v>150</v>
      </c>
      <c r="G24" s="15">
        <f t="shared" si="4"/>
        <v>76</v>
      </c>
      <c r="H24" s="16">
        <v>46</v>
      </c>
      <c r="I24" s="13"/>
      <c r="J24" s="14">
        <v>30</v>
      </c>
      <c r="K24" s="16">
        <v>74</v>
      </c>
      <c r="L24" s="13"/>
      <c r="M24" s="13"/>
      <c r="N24" s="13"/>
      <c r="O24" s="13" t="s">
        <v>70</v>
      </c>
      <c r="P24" s="14"/>
      <c r="Q24" s="164">
        <f t="shared" si="1"/>
        <v>0</v>
      </c>
      <c r="R24" s="15">
        <f t="shared" si="2"/>
        <v>0</v>
      </c>
      <c r="S24" s="16"/>
      <c r="T24" s="166"/>
      <c r="U24" s="19"/>
      <c r="V24" s="20"/>
      <c r="W24" s="13"/>
      <c r="X24" s="13"/>
      <c r="Y24" s="13"/>
      <c r="Z24" s="13"/>
      <c r="AA24" s="121"/>
    </row>
    <row r="25" spans="1:27" ht="20.25">
      <c r="A25" s="326" t="s">
        <v>39</v>
      </c>
      <c r="B25" s="325" t="s">
        <v>202</v>
      </c>
      <c r="C25" s="159">
        <v>90</v>
      </c>
      <c r="D25" s="12">
        <f t="shared" si="3"/>
        <v>3</v>
      </c>
      <c r="E25" s="13">
        <f t="shared" si="0"/>
        <v>90</v>
      </c>
      <c r="F25" s="14">
        <f t="shared" si="5"/>
        <v>0</v>
      </c>
      <c r="G25" s="15">
        <f t="shared" si="4"/>
        <v>0</v>
      </c>
      <c r="H25" s="16"/>
      <c r="I25" s="13"/>
      <c r="J25" s="14"/>
      <c r="K25" s="16"/>
      <c r="L25" s="13"/>
      <c r="M25" s="13"/>
      <c r="N25" s="13"/>
      <c r="O25" s="13"/>
      <c r="P25" s="14"/>
      <c r="Q25" s="164">
        <f t="shared" si="1"/>
        <v>90</v>
      </c>
      <c r="R25" s="15">
        <f t="shared" si="2"/>
        <v>64</v>
      </c>
      <c r="S25" s="16">
        <v>34</v>
      </c>
      <c r="T25" s="166"/>
      <c r="U25" s="19">
        <v>30</v>
      </c>
      <c r="V25" s="20">
        <v>26</v>
      </c>
      <c r="W25" s="13"/>
      <c r="X25" s="13"/>
      <c r="Y25" s="13"/>
      <c r="Z25" s="13" t="s">
        <v>70</v>
      </c>
      <c r="AA25" s="121"/>
    </row>
    <row r="26" spans="1:27" ht="21" thickBot="1">
      <c r="A26" s="326" t="s">
        <v>40</v>
      </c>
      <c r="B26" s="325" t="s">
        <v>177</v>
      </c>
      <c r="C26" s="159">
        <v>150</v>
      </c>
      <c r="D26" s="12">
        <f t="shared" si="3"/>
        <v>5</v>
      </c>
      <c r="E26" s="13">
        <f t="shared" si="0"/>
        <v>150</v>
      </c>
      <c r="F26" s="14">
        <f t="shared" si="5"/>
        <v>0</v>
      </c>
      <c r="G26" s="15">
        <f t="shared" si="4"/>
        <v>0</v>
      </c>
      <c r="H26" s="16"/>
      <c r="I26" s="13"/>
      <c r="J26" s="14"/>
      <c r="K26" s="16"/>
      <c r="L26" s="13"/>
      <c r="M26" s="13"/>
      <c r="N26" s="13"/>
      <c r="O26" s="13"/>
      <c r="P26" s="14"/>
      <c r="Q26" s="164">
        <f t="shared" si="1"/>
        <v>150</v>
      </c>
      <c r="R26" s="15">
        <f t="shared" si="2"/>
        <v>80</v>
      </c>
      <c r="S26" s="16">
        <v>48</v>
      </c>
      <c r="T26" s="166"/>
      <c r="U26" s="19">
        <v>32</v>
      </c>
      <c r="V26" s="20">
        <v>70</v>
      </c>
      <c r="W26" s="13" t="s">
        <v>125</v>
      </c>
      <c r="X26" s="13"/>
      <c r="Y26" s="13"/>
      <c r="Z26" s="13" t="s">
        <v>70</v>
      </c>
      <c r="AA26" s="121"/>
    </row>
    <row r="27" spans="1:27" ht="21" thickBot="1">
      <c r="A27" s="215" t="s">
        <v>41</v>
      </c>
      <c r="B27" s="442" t="s">
        <v>135</v>
      </c>
      <c r="C27" s="217">
        <v>120</v>
      </c>
      <c r="D27" s="218">
        <f t="shared" si="3"/>
        <v>4</v>
      </c>
      <c r="E27" s="219">
        <f t="shared" si="0"/>
        <v>120</v>
      </c>
      <c r="F27" s="220">
        <f t="shared" si="5"/>
        <v>0</v>
      </c>
      <c r="G27" s="221">
        <f t="shared" si="4"/>
        <v>0</v>
      </c>
      <c r="H27" s="222"/>
      <c r="I27" s="219"/>
      <c r="J27" s="220"/>
      <c r="K27" s="222"/>
      <c r="L27" s="219"/>
      <c r="M27" s="219"/>
      <c r="N27" s="219"/>
      <c r="O27" s="219"/>
      <c r="P27" s="220"/>
      <c r="Q27" s="223">
        <f>V27+W27+X27+Y27+R27</f>
        <v>120</v>
      </c>
      <c r="R27" s="221">
        <f t="shared" si="2"/>
        <v>68</v>
      </c>
      <c r="S27" s="222">
        <v>38</v>
      </c>
      <c r="T27" s="224"/>
      <c r="U27" s="225">
        <v>30</v>
      </c>
      <c r="V27" s="226">
        <v>52</v>
      </c>
      <c r="W27" s="219"/>
      <c r="X27" s="219"/>
      <c r="Y27" s="219"/>
      <c r="Z27" s="219"/>
      <c r="AA27" s="227" t="s">
        <v>67</v>
      </c>
    </row>
    <row r="28" spans="1:27" ht="24.75" customHeight="1" thickBot="1">
      <c r="A28" s="433" t="s">
        <v>55</v>
      </c>
      <c r="B28" s="185" t="s">
        <v>100</v>
      </c>
      <c r="C28" s="434">
        <v>225</v>
      </c>
      <c r="D28" s="435">
        <f>E28/30</f>
        <v>7.5</v>
      </c>
      <c r="E28" s="180">
        <f t="shared" si="0"/>
        <v>225</v>
      </c>
      <c r="F28" s="181">
        <f>G28+K28+N28+M28</f>
        <v>0</v>
      </c>
      <c r="G28" s="436">
        <f t="shared" si="4"/>
        <v>0</v>
      </c>
      <c r="H28" s="179"/>
      <c r="I28" s="180"/>
      <c r="J28" s="181"/>
      <c r="K28" s="179"/>
      <c r="L28" s="180"/>
      <c r="M28" s="180"/>
      <c r="N28" s="180"/>
      <c r="O28" s="180"/>
      <c r="P28" s="437"/>
      <c r="Q28" s="438">
        <f>V28+X28+Y28+R28</f>
        <v>225</v>
      </c>
      <c r="R28" s="436">
        <f t="shared" si="2"/>
        <v>150</v>
      </c>
      <c r="S28" s="179"/>
      <c r="T28" s="439"/>
      <c r="U28" s="440">
        <f>5*30</f>
        <v>150</v>
      </c>
      <c r="V28" s="443">
        <f>5*15</f>
        <v>75</v>
      </c>
      <c r="W28" s="441"/>
      <c r="X28" s="441"/>
      <c r="Y28" s="441"/>
      <c r="Z28" s="441"/>
      <c r="AA28" s="444" t="s">
        <v>67</v>
      </c>
    </row>
    <row r="29" spans="1:27" ht="24.75" customHeight="1" thickBot="1">
      <c r="A29" s="28"/>
      <c r="B29" s="29" t="s">
        <v>42</v>
      </c>
      <c r="C29" s="30">
        <f>SUM(C14:C28)</f>
        <v>1860</v>
      </c>
      <c r="D29" s="31">
        <f>SUM(D14:D28)</f>
        <v>56</v>
      </c>
      <c r="E29" s="31">
        <f>SUM(E14:E28)</f>
        <v>1860</v>
      </c>
      <c r="F29" s="32">
        <f>SUM(F14:F28)</f>
        <v>765</v>
      </c>
      <c r="G29" s="33">
        <f>SUM(G14:G27)</f>
        <v>406</v>
      </c>
      <c r="H29" s="34">
        <f>SUM(H14:H28)</f>
        <v>188</v>
      </c>
      <c r="I29" s="35">
        <f>SUM(I14:I28)</f>
        <v>0</v>
      </c>
      <c r="J29" s="35">
        <f>SUM(J14:J28)</f>
        <v>218</v>
      </c>
      <c r="K29" s="35">
        <f>SUM(K14:K28)</f>
        <v>359</v>
      </c>
      <c r="L29" s="35">
        <v>0</v>
      </c>
      <c r="M29" s="35">
        <f>SUM(M14:M28)</f>
        <v>0</v>
      </c>
      <c r="N29" s="35">
        <f>SUM(N14:N28)</f>
        <v>0</v>
      </c>
      <c r="O29" s="35">
        <v>3</v>
      </c>
      <c r="P29" s="36">
        <v>5</v>
      </c>
      <c r="Q29" s="33">
        <f>SUM(Q14:Q28)</f>
        <v>1095</v>
      </c>
      <c r="R29" s="37">
        <f>SUM(R14:R27)</f>
        <v>468</v>
      </c>
      <c r="S29" s="38">
        <f>SUM(S14:S28)</f>
        <v>218</v>
      </c>
      <c r="T29" s="31">
        <f>SUM(T14:T28)</f>
        <v>0</v>
      </c>
      <c r="U29" s="31">
        <f>SUM(U14:U27)</f>
        <v>250</v>
      </c>
      <c r="V29" s="31">
        <f>SUM(V14:V28)</f>
        <v>477</v>
      </c>
      <c r="W29" s="31">
        <v>1</v>
      </c>
      <c r="X29" s="31">
        <f>SUM(X14:X28)</f>
        <v>0</v>
      </c>
      <c r="Y29" s="31">
        <f>SUM(Y14:Y28)</f>
        <v>0</v>
      </c>
      <c r="Z29" s="31">
        <v>4</v>
      </c>
      <c r="AA29" s="142">
        <v>4</v>
      </c>
    </row>
    <row r="30" spans="1:27" ht="24.75" customHeight="1" thickBot="1">
      <c r="A30" s="589"/>
      <c r="B30" s="40" t="s">
        <v>43</v>
      </c>
      <c r="C30" s="41"/>
      <c r="D30" s="42"/>
      <c r="E30" s="43"/>
      <c r="F30" s="44"/>
      <c r="G30" s="45">
        <f>G29/J10</f>
        <v>27.066666666666666</v>
      </c>
      <c r="H30" s="46"/>
      <c r="I30" s="47"/>
      <c r="J30" s="47"/>
      <c r="K30" s="47"/>
      <c r="L30" s="47"/>
      <c r="M30" s="47"/>
      <c r="N30" s="47"/>
      <c r="O30" s="48"/>
      <c r="P30" s="49"/>
      <c r="Q30" s="44"/>
      <c r="R30" s="50">
        <f>SUM(R14:R27)/U10</f>
        <v>29.25</v>
      </c>
      <c r="S30" s="51"/>
      <c r="T30" s="41"/>
      <c r="U30" s="41"/>
      <c r="V30" s="41"/>
      <c r="W30" s="41"/>
      <c r="X30" s="41"/>
      <c r="Y30" s="41"/>
      <c r="Z30" s="52"/>
      <c r="AA30" s="143"/>
    </row>
    <row r="31" spans="1:27" ht="24.75" customHeight="1" thickBot="1">
      <c r="A31" s="590"/>
      <c r="B31" s="53" t="s">
        <v>44</v>
      </c>
      <c r="C31" s="43"/>
      <c r="D31" s="54"/>
      <c r="E31" s="43"/>
      <c r="F31" s="55"/>
      <c r="G31" s="56"/>
      <c r="H31" s="57"/>
      <c r="I31" s="43"/>
      <c r="J31" s="43"/>
      <c r="K31" s="43"/>
      <c r="L31" s="43"/>
      <c r="M31" s="43"/>
      <c r="N31" s="58"/>
      <c r="O31" s="39">
        <v>3</v>
      </c>
      <c r="P31" s="59"/>
      <c r="Q31" s="60"/>
      <c r="R31" s="61"/>
      <c r="S31" s="62"/>
      <c r="T31" s="62"/>
      <c r="U31" s="62"/>
      <c r="V31" s="62"/>
      <c r="W31" s="62"/>
      <c r="X31" s="62"/>
      <c r="Y31" s="58"/>
      <c r="Z31" s="39">
        <v>4</v>
      </c>
      <c r="AA31" s="144"/>
    </row>
    <row r="32" spans="1:27" ht="24.75" customHeight="1" thickBot="1">
      <c r="A32" s="590"/>
      <c r="B32" s="53" t="s">
        <v>45</v>
      </c>
      <c r="C32" s="43"/>
      <c r="D32" s="54"/>
      <c r="E32" s="43"/>
      <c r="F32" s="55"/>
      <c r="G32" s="58"/>
      <c r="H32" s="57"/>
      <c r="I32" s="43"/>
      <c r="J32" s="43"/>
      <c r="K32" s="43"/>
      <c r="L32" s="63"/>
      <c r="M32" s="43"/>
      <c r="N32" s="62"/>
      <c r="O32" s="56"/>
      <c r="P32" s="39">
        <v>5</v>
      </c>
      <c r="Q32" s="60"/>
      <c r="R32" s="62"/>
      <c r="S32" s="62"/>
      <c r="T32" s="62"/>
      <c r="U32" s="62"/>
      <c r="V32" s="62"/>
      <c r="W32" s="64"/>
      <c r="X32" s="62"/>
      <c r="Y32" s="62"/>
      <c r="Z32" s="56"/>
      <c r="AA32" s="39">
        <v>5</v>
      </c>
    </row>
    <row r="33" spans="1:27" ht="24.75" customHeight="1" thickBot="1">
      <c r="A33" s="590"/>
      <c r="B33" s="65" t="s">
        <v>46</v>
      </c>
      <c r="C33" s="63"/>
      <c r="D33" s="66"/>
      <c r="E33" s="63"/>
      <c r="F33" s="67"/>
      <c r="G33" s="66"/>
      <c r="H33" s="68"/>
      <c r="I33" s="69"/>
      <c r="J33" s="69"/>
      <c r="K33" s="70"/>
      <c r="L33" s="39">
        <v>0</v>
      </c>
      <c r="M33" s="71"/>
      <c r="N33" s="72"/>
      <c r="O33" s="72"/>
      <c r="P33" s="73"/>
      <c r="Q33" s="74"/>
      <c r="R33" s="64"/>
      <c r="S33" s="64"/>
      <c r="T33" s="64"/>
      <c r="U33" s="64"/>
      <c r="V33" s="75"/>
      <c r="W33" s="76">
        <v>1</v>
      </c>
      <c r="X33" s="67"/>
      <c r="Y33" s="63"/>
      <c r="Z33" s="64"/>
      <c r="AA33" s="145"/>
    </row>
    <row r="34" spans="1:27" ht="24.75" customHeight="1" thickBot="1">
      <c r="A34" s="591"/>
      <c r="B34" s="137" t="s">
        <v>47</v>
      </c>
      <c r="C34" s="77">
        <f>SUM(C30:C33)</f>
        <v>0</v>
      </c>
      <c r="D34" s="77">
        <f aca="true" t="shared" si="6" ref="D34:AA34">SUM(D30:D33)</f>
        <v>0</v>
      </c>
      <c r="E34" s="77">
        <f t="shared" si="6"/>
        <v>0</v>
      </c>
      <c r="F34" s="77">
        <f t="shared" si="6"/>
        <v>0</v>
      </c>
      <c r="G34" s="78">
        <f>SUM(G30:G33)</f>
        <v>27.066666666666666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2">
        <f t="shared" si="6"/>
        <v>0</v>
      </c>
      <c r="L34" s="39">
        <f t="shared" si="6"/>
        <v>0</v>
      </c>
      <c r="M34" s="38">
        <f t="shared" si="6"/>
        <v>0</v>
      </c>
      <c r="N34" s="31">
        <f t="shared" si="6"/>
        <v>0</v>
      </c>
      <c r="O34" s="31">
        <f t="shared" si="6"/>
        <v>3</v>
      </c>
      <c r="P34" s="31">
        <f t="shared" si="6"/>
        <v>5</v>
      </c>
      <c r="Q34" s="77">
        <f t="shared" si="6"/>
        <v>0</v>
      </c>
      <c r="R34" s="78">
        <f t="shared" si="6"/>
        <v>29.25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7">
        <f t="shared" si="6"/>
        <v>0</v>
      </c>
      <c r="W34" s="77">
        <f t="shared" si="6"/>
        <v>1</v>
      </c>
      <c r="X34" s="77">
        <f t="shared" si="6"/>
        <v>0</v>
      </c>
      <c r="Y34" s="77">
        <f t="shared" si="6"/>
        <v>0</v>
      </c>
      <c r="Z34" s="77">
        <f>SUM(Z30:Z33)</f>
        <v>4</v>
      </c>
      <c r="AA34" s="146">
        <f t="shared" si="6"/>
        <v>5</v>
      </c>
    </row>
    <row r="35" spans="1:27" ht="24.75" customHeight="1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6.25">
      <c r="A38" s="1"/>
      <c r="B38" s="82" t="s">
        <v>60</v>
      </c>
      <c r="C38" s="82"/>
      <c r="D38" s="82"/>
      <c r="E38" s="82"/>
      <c r="F38" s="82"/>
      <c r="G38" s="82"/>
      <c r="H38" s="82"/>
      <c r="I38" s="82"/>
      <c r="J38" s="82"/>
      <c r="K38" s="82" t="s">
        <v>59</v>
      </c>
      <c r="L38" s="82"/>
      <c r="M38" s="82"/>
      <c r="N38" s="82"/>
      <c r="O38" s="82"/>
      <c r="P38" s="82"/>
      <c r="Q38" s="82"/>
      <c r="R38" s="83"/>
      <c r="S38" s="83"/>
      <c r="T38" s="84"/>
      <c r="U38" s="85"/>
      <c r="V38" s="85"/>
      <c r="W38" s="85"/>
      <c r="X38" s="85"/>
      <c r="Y38" s="86"/>
      <c r="Z38" s="86"/>
      <c r="AA38" s="86"/>
    </row>
    <row r="39" spans="1:27" ht="26.25">
      <c r="A39" s="87"/>
      <c r="B39" s="592"/>
      <c r="C39" s="592"/>
      <c r="D39" s="592"/>
      <c r="E39" s="592"/>
      <c r="F39" s="592"/>
      <c r="G39" s="592"/>
      <c r="H39" s="592"/>
      <c r="I39" s="592"/>
      <c r="J39" s="592"/>
      <c r="K39" s="87"/>
      <c r="L39" s="87"/>
      <c r="M39" s="87"/>
      <c r="N39" s="87"/>
      <c r="O39" s="87"/>
      <c r="P39" s="87"/>
      <c r="Q39" s="87"/>
      <c r="R39" s="87" t="s">
        <v>48</v>
      </c>
      <c r="S39" s="89"/>
      <c r="T39" s="90" t="s">
        <v>49</v>
      </c>
      <c r="U39" s="91" t="s">
        <v>50</v>
      </c>
      <c r="V39" s="91"/>
      <c r="W39" s="91"/>
      <c r="X39" s="90"/>
      <c r="Y39" s="90"/>
      <c r="Z39" s="92"/>
      <c r="AA39" s="92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/>
      <c r="L40" s="82"/>
      <c r="M40" s="82"/>
      <c r="N40" s="82"/>
      <c r="O40" s="82"/>
      <c r="P40" s="82"/>
      <c r="Q40" s="82"/>
      <c r="R40" s="82"/>
      <c r="S40" s="82"/>
      <c r="T40" s="84"/>
      <c r="U40" s="84"/>
      <c r="V40" s="84"/>
      <c r="W40" s="84"/>
      <c r="X40" s="93"/>
      <c r="Y40" s="93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 t="s">
        <v>51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52</v>
      </c>
      <c r="U42" s="91" t="s">
        <v>50</v>
      </c>
      <c r="V42" s="91"/>
      <c r="W42" s="91"/>
      <c r="X42" s="90"/>
      <c r="Y42" s="90"/>
      <c r="Z42" s="94"/>
      <c r="AA42" s="94"/>
    </row>
  </sheetData>
  <sheetProtection/>
  <mergeCells count="42">
    <mergeCell ref="A30:A34"/>
    <mergeCell ref="B39:J39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5"/>
  <sheetViews>
    <sheetView zoomScale="46" zoomScaleNormal="46" zoomScalePageLayoutView="0" workbookViewId="0" topLeftCell="A7">
      <selection activeCell="K22" sqref="K22:K30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292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307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62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53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s="239" customFormat="1" ht="20.25">
      <c r="A14" s="422" t="s">
        <v>28</v>
      </c>
      <c r="B14" s="153" t="s">
        <v>102</v>
      </c>
      <c r="C14" s="459">
        <v>164</v>
      </c>
      <c r="D14" s="492">
        <v>0</v>
      </c>
      <c r="E14" s="424">
        <f aca="true" t="shared" si="0" ref="E14:E31">F14+Q14</f>
        <v>86</v>
      </c>
      <c r="F14" s="322">
        <f aca="true" t="shared" si="1" ref="F14:F21">G14+K14+N14+M14</f>
        <v>32</v>
      </c>
      <c r="G14" s="493">
        <f aca="true" t="shared" si="2" ref="G14:G31">H14+I14+J14</f>
        <v>32</v>
      </c>
      <c r="H14" s="494">
        <v>32</v>
      </c>
      <c r="I14" s="424"/>
      <c r="J14" s="322"/>
      <c r="K14" s="494"/>
      <c r="L14" s="424"/>
      <c r="M14" s="424"/>
      <c r="N14" s="424"/>
      <c r="O14" s="424"/>
      <c r="P14" s="425"/>
      <c r="Q14" s="495">
        <f aca="true" t="shared" si="3" ref="Q14:Q29">V14+X14+Y14+R14</f>
        <v>54</v>
      </c>
      <c r="R14" s="496">
        <f aca="true" t="shared" si="4" ref="R14:R31">S14+T14+U14</f>
        <v>34</v>
      </c>
      <c r="S14" s="427">
        <v>34</v>
      </c>
      <c r="T14" s="424"/>
      <c r="U14" s="425"/>
      <c r="V14" s="427"/>
      <c r="W14" s="424"/>
      <c r="X14" s="424">
        <v>20</v>
      </c>
      <c r="Y14" s="424"/>
      <c r="Z14" s="424" t="s">
        <v>138</v>
      </c>
      <c r="AA14" s="322"/>
    </row>
    <row r="15" spans="1:27" s="239" customFormat="1" ht="18" customHeight="1">
      <c r="A15" s="368" t="s">
        <v>29</v>
      </c>
      <c r="B15" s="154" t="s">
        <v>103</v>
      </c>
      <c r="C15" s="497">
        <v>144</v>
      </c>
      <c r="D15" s="498">
        <v>0</v>
      </c>
      <c r="E15" s="120">
        <f t="shared" si="0"/>
        <v>66</v>
      </c>
      <c r="F15" s="121">
        <f t="shared" si="1"/>
        <v>32</v>
      </c>
      <c r="G15" s="499">
        <f t="shared" si="2"/>
        <v>32</v>
      </c>
      <c r="H15" s="372">
        <v>32</v>
      </c>
      <c r="I15" s="370"/>
      <c r="J15" s="249"/>
      <c r="K15" s="372"/>
      <c r="L15" s="370"/>
      <c r="M15" s="370"/>
      <c r="N15" s="370"/>
      <c r="O15" s="370"/>
      <c r="P15" s="371"/>
      <c r="Q15" s="500">
        <f t="shared" si="3"/>
        <v>34</v>
      </c>
      <c r="R15" s="251">
        <f t="shared" si="4"/>
        <v>34</v>
      </c>
      <c r="S15" s="373">
        <v>34</v>
      </c>
      <c r="T15" s="370"/>
      <c r="U15" s="371"/>
      <c r="V15" s="373"/>
      <c r="W15" s="370"/>
      <c r="X15" s="370"/>
      <c r="Y15" s="370"/>
      <c r="Z15" s="370"/>
      <c r="AA15" s="249"/>
    </row>
    <row r="16" spans="1:27" s="239" customFormat="1" ht="20.25">
      <c r="A16" s="368" t="s">
        <v>30</v>
      </c>
      <c r="B16" s="154" t="s">
        <v>105</v>
      </c>
      <c r="C16" s="497">
        <v>144</v>
      </c>
      <c r="D16" s="498">
        <v>0</v>
      </c>
      <c r="E16" s="120">
        <f t="shared" si="0"/>
        <v>66</v>
      </c>
      <c r="F16" s="121">
        <f t="shared" si="1"/>
        <v>32</v>
      </c>
      <c r="G16" s="499">
        <f t="shared" si="2"/>
        <v>32</v>
      </c>
      <c r="H16" s="372">
        <v>32</v>
      </c>
      <c r="I16" s="370"/>
      <c r="J16" s="249"/>
      <c r="K16" s="372"/>
      <c r="L16" s="370"/>
      <c r="M16" s="370"/>
      <c r="N16" s="370"/>
      <c r="O16" s="370"/>
      <c r="P16" s="371"/>
      <c r="Q16" s="500">
        <f t="shared" si="3"/>
        <v>34</v>
      </c>
      <c r="R16" s="251">
        <f t="shared" si="4"/>
        <v>34</v>
      </c>
      <c r="S16" s="373">
        <v>34</v>
      </c>
      <c r="T16" s="370"/>
      <c r="U16" s="371"/>
      <c r="V16" s="373"/>
      <c r="W16" s="370"/>
      <c r="X16" s="370"/>
      <c r="Y16" s="370"/>
      <c r="Z16" s="370"/>
      <c r="AA16" s="249"/>
    </row>
    <row r="17" spans="1:27" s="239" customFormat="1" ht="20.25">
      <c r="A17" s="368" t="s">
        <v>31</v>
      </c>
      <c r="B17" s="154" t="s">
        <v>106</v>
      </c>
      <c r="C17" s="497">
        <v>130</v>
      </c>
      <c r="D17" s="498">
        <v>0</v>
      </c>
      <c r="E17" s="120">
        <f t="shared" si="0"/>
        <v>86</v>
      </c>
      <c r="F17" s="121">
        <f t="shared" si="1"/>
        <v>32</v>
      </c>
      <c r="G17" s="499">
        <f t="shared" si="2"/>
        <v>32</v>
      </c>
      <c r="H17" s="372">
        <v>32</v>
      </c>
      <c r="I17" s="370"/>
      <c r="J17" s="249"/>
      <c r="K17" s="372"/>
      <c r="L17" s="370"/>
      <c r="M17" s="370"/>
      <c r="N17" s="370"/>
      <c r="O17" s="370"/>
      <c r="P17" s="371"/>
      <c r="Q17" s="500">
        <f t="shared" si="3"/>
        <v>54</v>
      </c>
      <c r="R17" s="251">
        <f t="shared" si="4"/>
        <v>34</v>
      </c>
      <c r="S17" s="373">
        <v>34</v>
      </c>
      <c r="T17" s="370"/>
      <c r="U17" s="371"/>
      <c r="V17" s="373"/>
      <c r="W17" s="370"/>
      <c r="X17" s="370">
        <v>20</v>
      </c>
      <c r="Y17" s="370"/>
      <c r="Z17" s="370" t="s">
        <v>138</v>
      </c>
      <c r="AA17" s="249"/>
    </row>
    <row r="18" spans="1:27" s="239" customFormat="1" ht="20.25">
      <c r="A18" s="368" t="s">
        <v>32</v>
      </c>
      <c r="B18" s="154" t="s">
        <v>110</v>
      </c>
      <c r="C18" s="497">
        <v>242</v>
      </c>
      <c r="D18" s="498">
        <v>0</v>
      </c>
      <c r="E18" s="120">
        <f t="shared" si="0"/>
        <v>120</v>
      </c>
      <c r="F18" s="121">
        <f t="shared" si="1"/>
        <v>32</v>
      </c>
      <c r="G18" s="499">
        <f t="shared" si="2"/>
        <v>32</v>
      </c>
      <c r="H18" s="372">
        <v>32</v>
      </c>
      <c r="I18" s="370"/>
      <c r="J18" s="249"/>
      <c r="K18" s="372"/>
      <c r="L18" s="370"/>
      <c r="M18" s="370"/>
      <c r="N18" s="370"/>
      <c r="O18" s="370"/>
      <c r="P18" s="371"/>
      <c r="Q18" s="500">
        <f t="shared" si="3"/>
        <v>88</v>
      </c>
      <c r="R18" s="251">
        <f t="shared" si="4"/>
        <v>68</v>
      </c>
      <c r="S18" s="373">
        <v>68</v>
      </c>
      <c r="T18" s="370"/>
      <c r="U18" s="371"/>
      <c r="V18" s="373"/>
      <c r="W18" s="370"/>
      <c r="X18" s="370">
        <v>20</v>
      </c>
      <c r="Y18" s="370"/>
      <c r="Z18" s="370" t="s">
        <v>138</v>
      </c>
      <c r="AA18" s="249"/>
    </row>
    <row r="19" spans="1:27" s="239" customFormat="1" ht="20.25">
      <c r="A19" s="368" t="s">
        <v>33</v>
      </c>
      <c r="B19" s="154" t="s">
        <v>111</v>
      </c>
      <c r="C19" s="497">
        <v>216</v>
      </c>
      <c r="D19" s="498">
        <v>0</v>
      </c>
      <c r="E19" s="120">
        <f t="shared" si="0"/>
        <v>100</v>
      </c>
      <c r="F19" s="121">
        <f t="shared" si="1"/>
        <v>48</v>
      </c>
      <c r="G19" s="499">
        <f t="shared" si="2"/>
        <v>48</v>
      </c>
      <c r="H19" s="372">
        <v>48</v>
      </c>
      <c r="I19" s="370"/>
      <c r="J19" s="249"/>
      <c r="K19" s="372"/>
      <c r="L19" s="370"/>
      <c r="M19" s="370"/>
      <c r="N19" s="370"/>
      <c r="O19" s="370"/>
      <c r="P19" s="371"/>
      <c r="Q19" s="500">
        <f t="shared" si="3"/>
        <v>52</v>
      </c>
      <c r="R19" s="251">
        <f t="shared" si="4"/>
        <v>52</v>
      </c>
      <c r="S19" s="373">
        <v>52</v>
      </c>
      <c r="T19" s="370"/>
      <c r="U19" s="371"/>
      <c r="V19" s="373"/>
      <c r="W19" s="370"/>
      <c r="X19" s="370"/>
      <c r="Y19" s="370"/>
      <c r="Z19" s="370"/>
      <c r="AA19" s="249"/>
    </row>
    <row r="20" spans="1:27" s="239" customFormat="1" ht="20.25">
      <c r="A20" s="336" t="s">
        <v>34</v>
      </c>
      <c r="B20" s="154" t="s">
        <v>287</v>
      </c>
      <c r="C20" s="497">
        <v>220</v>
      </c>
      <c r="D20" s="498">
        <v>0</v>
      </c>
      <c r="E20" s="120">
        <f t="shared" si="0"/>
        <v>98</v>
      </c>
      <c r="F20" s="121">
        <f t="shared" si="1"/>
        <v>48</v>
      </c>
      <c r="G20" s="499">
        <f t="shared" si="2"/>
        <v>48</v>
      </c>
      <c r="H20" s="372">
        <v>48</v>
      </c>
      <c r="I20" s="370"/>
      <c r="J20" s="249"/>
      <c r="K20" s="372"/>
      <c r="L20" s="370"/>
      <c r="M20" s="370"/>
      <c r="N20" s="370"/>
      <c r="O20" s="370"/>
      <c r="P20" s="371"/>
      <c r="Q20" s="500">
        <f t="shared" si="3"/>
        <v>50</v>
      </c>
      <c r="R20" s="251">
        <f t="shared" si="4"/>
        <v>50</v>
      </c>
      <c r="S20" s="373">
        <v>50</v>
      </c>
      <c r="T20" s="370"/>
      <c r="U20" s="371"/>
      <c r="V20" s="373"/>
      <c r="W20" s="370"/>
      <c r="X20" s="370"/>
      <c r="Y20" s="370"/>
      <c r="Z20" s="370"/>
      <c r="AA20" s="249"/>
    </row>
    <row r="21" spans="1:27" s="239" customFormat="1" ht="21" thickBot="1">
      <c r="A21" s="337" t="s">
        <v>35</v>
      </c>
      <c r="B21" s="319" t="s">
        <v>140</v>
      </c>
      <c r="C21" s="501">
        <v>66</v>
      </c>
      <c r="D21" s="343">
        <v>0</v>
      </c>
      <c r="E21" s="105">
        <f t="shared" si="0"/>
        <v>66</v>
      </c>
      <c r="F21" s="107">
        <f t="shared" si="1"/>
        <v>32</v>
      </c>
      <c r="G21" s="348">
        <f t="shared" si="2"/>
        <v>32</v>
      </c>
      <c r="H21" s="452">
        <v>32</v>
      </c>
      <c r="I21" s="441"/>
      <c r="J21" s="444"/>
      <c r="K21" s="452"/>
      <c r="L21" s="441"/>
      <c r="M21" s="441"/>
      <c r="N21" s="441"/>
      <c r="O21" s="441"/>
      <c r="P21" s="453"/>
      <c r="Q21" s="380">
        <f t="shared" si="3"/>
        <v>34</v>
      </c>
      <c r="R21" s="351">
        <f t="shared" si="4"/>
        <v>34</v>
      </c>
      <c r="S21" s="455">
        <v>34</v>
      </c>
      <c r="T21" s="441"/>
      <c r="U21" s="453"/>
      <c r="V21" s="455"/>
      <c r="W21" s="441"/>
      <c r="X21" s="441"/>
      <c r="Y21" s="441"/>
      <c r="Z21" s="441"/>
      <c r="AA21" s="444"/>
    </row>
    <row r="22" spans="1:27" s="239" customFormat="1" ht="20.25">
      <c r="A22" s="368" t="s">
        <v>36</v>
      </c>
      <c r="B22" s="414" t="s">
        <v>308</v>
      </c>
      <c r="C22" s="497">
        <v>120</v>
      </c>
      <c r="D22" s="502">
        <f>E22/30</f>
        <v>4</v>
      </c>
      <c r="E22" s="370">
        <f t="shared" si="0"/>
        <v>120</v>
      </c>
      <c r="F22" s="249">
        <f>G22+K22+N22+M22</f>
        <v>60</v>
      </c>
      <c r="G22" s="503">
        <f t="shared" si="2"/>
        <v>32</v>
      </c>
      <c r="H22" s="372">
        <v>8</v>
      </c>
      <c r="I22" s="370"/>
      <c r="J22" s="249">
        <f>16+8</f>
        <v>24</v>
      </c>
      <c r="K22" s="372">
        <v>28</v>
      </c>
      <c r="L22" s="370"/>
      <c r="M22" s="370"/>
      <c r="N22" s="370"/>
      <c r="O22" s="370"/>
      <c r="P22" s="371" t="s">
        <v>67</v>
      </c>
      <c r="Q22" s="504">
        <f t="shared" si="3"/>
        <v>60</v>
      </c>
      <c r="R22" s="505">
        <f t="shared" si="4"/>
        <v>34</v>
      </c>
      <c r="S22" s="373">
        <v>8</v>
      </c>
      <c r="T22" s="370"/>
      <c r="U22" s="371">
        <v>26</v>
      </c>
      <c r="V22" s="373">
        <v>26</v>
      </c>
      <c r="W22" s="370"/>
      <c r="X22" s="370"/>
      <c r="Y22" s="370"/>
      <c r="Z22" s="370"/>
      <c r="AA22" s="249" t="s">
        <v>67</v>
      </c>
    </row>
    <row r="23" spans="1:27" s="239" customFormat="1" ht="20.25">
      <c r="A23" s="336" t="s">
        <v>37</v>
      </c>
      <c r="B23" s="323" t="s">
        <v>263</v>
      </c>
      <c r="C23" s="460">
        <v>90</v>
      </c>
      <c r="D23" s="498">
        <f aca="true" t="shared" si="5" ref="D23:D31">E23/30</f>
        <v>3</v>
      </c>
      <c r="E23" s="120">
        <f t="shared" si="0"/>
        <v>90</v>
      </c>
      <c r="F23" s="121">
        <f aca="true" t="shared" si="6" ref="F23:F31">G23+K23+N23+M23</f>
        <v>0</v>
      </c>
      <c r="G23" s="499">
        <f t="shared" si="2"/>
        <v>0</v>
      </c>
      <c r="H23" s="175"/>
      <c r="I23" s="120"/>
      <c r="J23" s="121"/>
      <c r="K23" s="175"/>
      <c r="L23" s="120"/>
      <c r="M23" s="120"/>
      <c r="N23" s="120"/>
      <c r="O23" s="120"/>
      <c r="P23" s="21"/>
      <c r="Q23" s="500">
        <f t="shared" si="3"/>
        <v>90</v>
      </c>
      <c r="R23" s="251">
        <f t="shared" si="4"/>
        <v>34</v>
      </c>
      <c r="S23" s="119">
        <v>18</v>
      </c>
      <c r="T23" s="120"/>
      <c r="U23" s="21">
        <v>16</v>
      </c>
      <c r="V23" s="119">
        <v>56</v>
      </c>
      <c r="W23" s="120"/>
      <c r="X23" s="120"/>
      <c r="Y23" s="120"/>
      <c r="Z23" s="120"/>
      <c r="AA23" s="121" t="s">
        <v>67</v>
      </c>
    </row>
    <row r="24" spans="1:27" s="239" customFormat="1" ht="20.25">
      <c r="A24" s="336" t="s">
        <v>38</v>
      </c>
      <c r="B24" s="323" t="s">
        <v>309</v>
      </c>
      <c r="C24" s="460">
        <v>90</v>
      </c>
      <c r="D24" s="498">
        <f t="shared" si="5"/>
        <v>3</v>
      </c>
      <c r="E24" s="120">
        <f t="shared" si="0"/>
        <v>90</v>
      </c>
      <c r="F24" s="121">
        <f t="shared" si="6"/>
        <v>90</v>
      </c>
      <c r="G24" s="499">
        <f t="shared" si="2"/>
        <v>48</v>
      </c>
      <c r="H24" s="175">
        <v>24</v>
      </c>
      <c r="I24" s="120"/>
      <c r="J24" s="121">
        <v>24</v>
      </c>
      <c r="K24" s="175">
        <v>42</v>
      </c>
      <c r="L24" s="120"/>
      <c r="M24" s="120"/>
      <c r="N24" s="120"/>
      <c r="O24" s="120" t="s">
        <v>70</v>
      </c>
      <c r="P24" s="21"/>
      <c r="Q24" s="500">
        <f t="shared" si="3"/>
        <v>0</v>
      </c>
      <c r="R24" s="251">
        <f t="shared" si="4"/>
        <v>0</v>
      </c>
      <c r="S24" s="119"/>
      <c r="T24" s="120"/>
      <c r="U24" s="21"/>
      <c r="V24" s="119"/>
      <c r="W24" s="120"/>
      <c r="X24" s="120"/>
      <c r="Y24" s="120"/>
      <c r="Z24" s="120"/>
      <c r="AA24" s="121"/>
    </row>
    <row r="25" spans="1:27" s="239" customFormat="1" ht="20.25">
      <c r="A25" s="336" t="s">
        <v>39</v>
      </c>
      <c r="B25" s="323" t="s">
        <v>142</v>
      </c>
      <c r="C25" s="460">
        <v>60</v>
      </c>
      <c r="D25" s="498">
        <f t="shared" si="5"/>
        <v>2</v>
      </c>
      <c r="E25" s="120">
        <f t="shared" si="0"/>
        <v>60</v>
      </c>
      <c r="F25" s="121">
        <f t="shared" si="6"/>
        <v>60</v>
      </c>
      <c r="G25" s="499">
        <f t="shared" si="2"/>
        <v>32</v>
      </c>
      <c r="H25" s="175">
        <v>16</v>
      </c>
      <c r="I25" s="120"/>
      <c r="J25" s="121">
        <v>16</v>
      </c>
      <c r="K25" s="175">
        <v>28</v>
      </c>
      <c r="L25" s="120"/>
      <c r="M25" s="120"/>
      <c r="N25" s="120"/>
      <c r="O25" s="120"/>
      <c r="P25" s="21" t="s">
        <v>67</v>
      </c>
      <c r="Q25" s="500">
        <f t="shared" si="3"/>
        <v>0</v>
      </c>
      <c r="R25" s="251">
        <f t="shared" si="4"/>
        <v>0</v>
      </c>
      <c r="S25" s="119"/>
      <c r="T25" s="120"/>
      <c r="U25" s="21"/>
      <c r="V25" s="119"/>
      <c r="W25" s="120"/>
      <c r="X25" s="120"/>
      <c r="Y25" s="120"/>
      <c r="Z25" s="120"/>
      <c r="AA25" s="121"/>
    </row>
    <row r="26" spans="1:27" s="239" customFormat="1" ht="20.25">
      <c r="A26" s="336" t="s">
        <v>40</v>
      </c>
      <c r="B26" s="323" t="s">
        <v>310</v>
      </c>
      <c r="C26" s="460">
        <v>180</v>
      </c>
      <c r="D26" s="498">
        <f t="shared" si="5"/>
        <v>6</v>
      </c>
      <c r="E26" s="120">
        <f t="shared" si="0"/>
        <v>180</v>
      </c>
      <c r="F26" s="121">
        <f t="shared" si="6"/>
        <v>112</v>
      </c>
      <c r="G26" s="499">
        <f t="shared" si="2"/>
        <v>32</v>
      </c>
      <c r="H26" s="175">
        <v>16</v>
      </c>
      <c r="I26" s="120"/>
      <c r="J26" s="121">
        <v>16</v>
      </c>
      <c r="K26" s="175">
        <v>80</v>
      </c>
      <c r="L26" s="120"/>
      <c r="M26" s="120"/>
      <c r="N26" s="120"/>
      <c r="O26" s="120"/>
      <c r="P26" s="21" t="s">
        <v>67</v>
      </c>
      <c r="Q26" s="500">
        <f t="shared" si="3"/>
        <v>68</v>
      </c>
      <c r="R26" s="251">
        <f t="shared" si="4"/>
        <v>68</v>
      </c>
      <c r="S26" s="119">
        <v>18</v>
      </c>
      <c r="T26" s="120"/>
      <c r="U26" s="21">
        <f>66-16</f>
        <v>50</v>
      </c>
      <c r="V26" s="119"/>
      <c r="W26" s="120"/>
      <c r="X26" s="120"/>
      <c r="Y26" s="120"/>
      <c r="Z26" s="120" t="s">
        <v>70</v>
      </c>
      <c r="AA26" s="121"/>
    </row>
    <row r="27" spans="1:27" s="239" customFormat="1" ht="20.25">
      <c r="A27" s="336" t="s">
        <v>41</v>
      </c>
      <c r="B27" s="324" t="s">
        <v>311</v>
      </c>
      <c r="C27" s="460">
        <v>90</v>
      </c>
      <c r="D27" s="498">
        <f t="shared" si="5"/>
        <v>3</v>
      </c>
      <c r="E27" s="120">
        <f t="shared" si="0"/>
        <v>90</v>
      </c>
      <c r="F27" s="121">
        <f t="shared" si="6"/>
        <v>90</v>
      </c>
      <c r="G27" s="499">
        <f t="shared" si="2"/>
        <v>32</v>
      </c>
      <c r="H27" s="506">
        <v>8</v>
      </c>
      <c r="I27" s="120"/>
      <c r="J27" s="121">
        <v>24</v>
      </c>
      <c r="K27" s="175">
        <v>58</v>
      </c>
      <c r="L27" s="120"/>
      <c r="M27" s="120"/>
      <c r="N27" s="120"/>
      <c r="O27" s="120"/>
      <c r="P27" s="21" t="s">
        <v>67</v>
      </c>
      <c r="Q27" s="500">
        <f t="shared" si="3"/>
        <v>0</v>
      </c>
      <c r="R27" s="251">
        <f t="shared" si="4"/>
        <v>0</v>
      </c>
      <c r="S27" s="507"/>
      <c r="T27" s="120"/>
      <c r="U27" s="21"/>
      <c r="V27" s="119"/>
      <c r="W27" s="120"/>
      <c r="X27" s="120"/>
      <c r="Y27" s="120"/>
      <c r="Z27" s="120"/>
      <c r="AA27" s="121"/>
    </row>
    <row r="28" spans="1:27" ht="20.25">
      <c r="A28" s="326" t="s">
        <v>55</v>
      </c>
      <c r="B28" s="324" t="s">
        <v>312</v>
      </c>
      <c r="C28" s="340">
        <v>195</v>
      </c>
      <c r="D28" s="342">
        <f t="shared" si="5"/>
        <v>6.5</v>
      </c>
      <c r="E28" s="13">
        <f t="shared" si="0"/>
        <v>195</v>
      </c>
      <c r="F28" s="17">
        <f t="shared" si="6"/>
        <v>135</v>
      </c>
      <c r="G28" s="301">
        <f t="shared" si="2"/>
        <v>96</v>
      </c>
      <c r="H28" s="354"/>
      <c r="I28" s="13"/>
      <c r="J28" s="17">
        <f>6*16</f>
        <v>96</v>
      </c>
      <c r="K28" s="350">
        <f>24+15</f>
        <v>39</v>
      </c>
      <c r="L28" s="13"/>
      <c r="M28" s="13"/>
      <c r="N28" s="13"/>
      <c r="O28" s="13" t="s">
        <v>70</v>
      </c>
      <c r="P28" s="14"/>
      <c r="Q28" s="347">
        <f t="shared" si="3"/>
        <v>60</v>
      </c>
      <c r="R28" s="148">
        <f t="shared" si="4"/>
        <v>34</v>
      </c>
      <c r="S28" s="421"/>
      <c r="T28" s="172"/>
      <c r="U28" s="173">
        <f>2*17</f>
        <v>34</v>
      </c>
      <c r="V28" s="176">
        <f>65-39</f>
        <v>26</v>
      </c>
      <c r="W28" s="172"/>
      <c r="X28" s="172"/>
      <c r="Y28" s="172"/>
      <c r="Z28" s="172"/>
      <c r="AA28" s="184" t="s">
        <v>67</v>
      </c>
    </row>
    <row r="29" spans="1:27" ht="21" thickBot="1">
      <c r="A29" s="326" t="s">
        <v>56</v>
      </c>
      <c r="B29" s="324" t="s">
        <v>85</v>
      </c>
      <c r="C29" s="340">
        <v>90</v>
      </c>
      <c r="D29" s="342">
        <f t="shared" si="5"/>
        <v>3</v>
      </c>
      <c r="E29" s="13">
        <f t="shared" si="0"/>
        <v>90</v>
      </c>
      <c r="F29" s="17">
        <f t="shared" si="6"/>
        <v>0</v>
      </c>
      <c r="G29" s="301">
        <f t="shared" si="2"/>
        <v>0</v>
      </c>
      <c r="H29" s="354"/>
      <c r="I29" s="13"/>
      <c r="J29" s="17"/>
      <c r="K29" s="350"/>
      <c r="L29" s="13"/>
      <c r="M29" s="13"/>
      <c r="N29" s="13"/>
      <c r="O29" s="13"/>
      <c r="P29" s="14"/>
      <c r="Q29" s="347">
        <f t="shared" si="3"/>
        <v>90</v>
      </c>
      <c r="R29" s="148">
        <f t="shared" si="4"/>
        <v>34</v>
      </c>
      <c r="S29" s="421">
        <v>24</v>
      </c>
      <c r="T29" s="172"/>
      <c r="U29" s="173">
        <v>10</v>
      </c>
      <c r="V29" s="176">
        <v>56</v>
      </c>
      <c r="W29" s="172"/>
      <c r="X29" s="172"/>
      <c r="Y29" s="172"/>
      <c r="Z29" s="172" t="s">
        <v>70</v>
      </c>
      <c r="AA29" s="184"/>
    </row>
    <row r="30" spans="1:27" ht="21" thickBot="1">
      <c r="A30" s="215" t="s">
        <v>57</v>
      </c>
      <c r="B30" s="216" t="s">
        <v>137</v>
      </c>
      <c r="C30" s="217">
        <v>120</v>
      </c>
      <c r="D30" s="218">
        <f t="shared" si="5"/>
        <v>4</v>
      </c>
      <c r="E30" s="219">
        <f t="shared" si="0"/>
        <v>120</v>
      </c>
      <c r="F30" s="227">
        <f t="shared" si="6"/>
        <v>0</v>
      </c>
      <c r="G30" s="284">
        <f t="shared" si="2"/>
        <v>0</v>
      </c>
      <c r="H30" s="222"/>
      <c r="I30" s="219"/>
      <c r="J30" s="227"/>
      <c r="K30" s="377"/>
      <c r="L30" s="219"/>
      <c r="M30" s="219"/>
      <c r="N30" s="219"/>
      <c r="O30" s="219"/>
      <c r="P30" s="220"/>
      <c r="Q30" s="378">
        <f>V30+W30+X30+Y30+R30</f>
        <v>120</v>
      </c>
      <c r="R30" s="379">
        <f t="shared" si="4"/>
        <v>68</v>
      </c>
      <c r="S30" s="222">
        <v>38</v>
      </c>
      <c r="T30" s="224"/>
      <c r="U30" s="225">
        <v>30</v>
      </c>
      <c r="V30" s="226">
        <v>52</v>
      </c>
      <c r="W30" s="219"/>
      <c r="X30" s="219"/>
      <c r="Y30" s="219"/>
      <c r="Z30" s="219"/>
      <c r="AA30" s="227" t="s">
        <v>67</v>
      </c>
    </row>
    <row r="31" spans="1:27" s="239" customFormat="1" ht="24.75" customHeight="1" thickBot="1">
      <c r="A31" s="399" t="s">
        <v>143</v>
      </c>
      <c r="B31" s="400" t="s">
        <v>100</v>
      </c>
      <c r="C31" s="401">
        <v>330</v>
      </c>
      <c r="D31" s="402">
        <f t="shared" si="5"/>
        <v>4.5</v>
      </c>
      <c r="E31" s="403">
        <f t="shared" si="0"/>
        <v>135</v>
      </c>
      <c r="F31" s="404">
        <f t="shared" si="6"/>
        <v>0</v>
      </c>
      <c r="G31" s="413">
        <f t="shared" si="2"/>
        <v>0</v>
      </c>
      <c r="H31" s="402"/>
      <c r="I31" s="403"/>
      <c r="J31" s="394"/>
      <c r="K31" s="402"/>
      <c r="L31" s="403"/>
      <c r="M31" s="403"/>
      <c r="N31" s="403"/>
      <c r="O31" s="403"/>
      <c r="P31" s="404"/>
      <c r="Q31" s="406">
        <f>V31+X31+Y31+R31</f>
        <v>135</v>
      </c>
      <c r="R31" s="407">
        <f t="shared" si="4"/>
        <v>90</v>
      </c>
      <c r="S31" s="408"/>
      <c r="T31" s="403"/>
      <c r="U31" s="404">
        <f>3*30</f>
        <v>90</v>
      </c>
      <c r="V31" s="408">
        <f>3*15</f>
        <v>45</v>
      </c>
      <c r="W31" s="403"/>
      <c r="X31" s="403"/>
      <c r="Y31" s="403"/>
      <c r="Z31" s="403"/>
      <c r="AA31" s="394" t="s">
        <v>67</v>
      </c>
    </row>
    <row r="32" spans="1:27" ht="24.75" customHeight="1" thickBot="1">
      <c r="A32" s="240"/>
      <c r="B32" s="241" t="s">
        <v>42</v>
      </c>
      <c r="C32" s="39">
        <f>SUM(C14:C31)</f>
        <v>2691</v>
      </c>
      <c r="D32" s="39">
        <f aca="true" t="shared" si="7" ref="D32:N32">SUM(D14:D30)</f>
        <v>34.5</v>
      </c>
      <c r="E32" s="39">
        <f t="shared" si="7"/>
        <v>1723</v>
      </c>
      <c r="F32" s="39">
        <f t="shared" si="7"/>
        <v>835</v>
      </c>
      <c r="G32" s="39">
        <f t="shared" si="7"/>
        <v>560</v>
      </c>
      <c r="H32" s="39">
        <f t="shared" si="7"/>
        <v>360</v>
      </c>
      <c r="I32" s="39">
        <f t="shared" si="7"/>
        <v>0</v>
      </c>
      <c r="J32" s="39">
        <f t="shared" si="7"/>
        <v>200</v>
      </c>
      <c r="K32" s="39">
        <f t="shared" si="7"/>
        <v>275</v>
      </c>
      <c r="L32" s="39">
        <f t="shared" si="7"/>
        <v>0</v>
      </c>
      <c r="M32" s="39">
        <f t="shared" si="7"/>
        <v>0</v>
      </c>
      <c r="N32" s="39">
        <f t="shared" si="7"/>
        <v>0</v>
      </c>
      <c r="O32" s="39">
        <v>2</v>
      </c>
      <c r="P32" s="39">
        <v>4</v>
      </c>
      <c r="Q32" s="39">
        <f>SUM(Q14:Q31)</f>
        <v>1023</v>
      </c>
      <c r="R32" s="456">
        <f>SUM(R14:R30)</f>
        <v>612</v>
      </c>
      <c r="S32" s="456">
        <f>SUM(S14:S30)</f>
        <v>446</v>
      </c>
      <c r="T32" s="456">
        <f>SUM(T14:T30)</f>
        <v>0</v>
      </c>
      <c r="U32" s="456">
        <f>SUM(U14:U30)</f>
        <v>166</v>
      </c>
      <c r="V32" s="456">
        <f>SUM(V14:V30)</f>
        <v>216</v>
      </c>
      <c r="W32" s="456">
        <v>0</v>
      </c>
      <c r="X32" s="456">
        <f>SUM(X14:X30)</f>
        <v>60</v>
      </c>
      <c r="Y32" s="456">
        <v>0</v>
      </c>
      <c r="Z32" s="456">
        <v>5</v>
      </c>
      <c r="AA32" s="456">
        <v>4</v>
      </c>
    </row>
    <row r="33" spans="1:27" ht="24.75" customHeight="1" thickBot="1">
      <c r="A33" s="589"/>
      <c r="B33" s="384" t="s">
        <v>43</v>
      </c>
      <c r="C33" s="46"/>
      <c r="D33" s="387"/>
      <c r="E33" s="47"/>
      <c r="F33" s="388"/>
      <c r="G33" s="389">
        <f>G32/J10</f>
        <v>35</v>
      </c>
      <c r="H33" s="46"/>
      <c r="I33" s="47"/>
      <c r="J33" s="47"/>
      <c r="K33" s="47"/>
      <c r="L33" s="47"/>
      <c r="M33" s="47"/>
      <c r="N33" s="47"/>
      <c r="O33" s="48"/>
      <c r="P33" s="49"/>
      <c r="Q33" s="388"/>
      <c r="R33" s="390">
        <f>SUM(R14:R30)/U10</f>
        <v>36</v>
      </c>
      <c r="S33" s="391"/>
      <c r="T33" s="47"/>
      <c r="U33" s="47"/>
      <c r="V33" s="47"/>
      <c r="W33" s="47"/>
      <c r="X33" s="47"/>
      <c r="Y33" s="47"/>
      <c r="Z33" s="48"/>
      <c r="AA33" s="49"/>
    </row>
    <row r="34" spans="1:27" ht="24.75" customHeight="1" thickBot="1">
      <c r="A34" s="590"/>
      <c r="B34" s="385" t="s">
        <v>44</v>
      </c>
      <c r="C34" s="57"/>
      <c r="D34" s="54"/>
      <c r="E34" s="43"/>
      <c r="F34" s="55"/>
      <c r="G34" s="56"/>
      <c r="H34" s="57"/>
      <c r="I34" s="43"/>
      <c r="J34" s="43"/>
      <c r="K34" s="43"/>
      <c r="L34" s="43"/>
      <c r="M34" s="43"/>
      <c r="N34" s="58"/>
      <c r="O34" s="39">
        <v>2</v>
      </c>
      <c r="P34" s="59"/>
      <c r="Q34" s="60"/>
      <c r="R34" s="61"/>
      <c r="S34" s="62"/>
      <c r="T34" s="62"/>
      <c r="U34" s="62"/>
      <c r="V34" s="62"/>
      <c r="W34" s="62"/>
      <c r="X34" s="62"/>
      <c r="Y34" s="58"/>
      <c r="Z34" s="39">
        <v>5</v>
      </c>
      <c r="AA34" s="144"/>
    </row>
    <row r="35" spans="1:27" ht="24.75" customHeight="1" thickBot="1">
      <c r="A35" s="590"/>
      <c r="B35" s="385" t="s">
        <v>45</v>
      </c>
      <c r="C35" s="57"/>
      <c r="D35" s="54"/>
      <c r="E35" s="43"/>
      <c r="F35" s="55"/>
      <c r="G35" s="58"/>
      <c r="H35" s="57"/>
      <c r="I35" s="43"/>
      <c r="J35" s="43"/>
      <c r="K35" s="43"/>
      <c r="L35" s="63"/>
      <c r="M35" s="43"/>
      <c r="N35" s="62"/>
      <c r="O35" s="56"/>
      <c r="P35" s="39">
        <v>4</v>
      </c>
      <c r="Q35" s="60"/>
      <c r="R35" s="62"/>
      <c r="S35" s="62"/>
      <c r="T35" s="62"/>
      <c r="U35" s="62"/>
      <c r="V35" s="62"/>
      <c r="W35" s="64"/>
      <c r="X35" s="62"/>
      <c r="Y35" s="62"/>
      <c r="Z35" s="56"/>
      <c r="AA35" s="39">
        <v>5</v>
      </c>
    </row>
    <row r="36" spans="1:27" ht="24.75" customHeight="1" thickBot="1">
      <c r="A36" s="590"/>
      <c r="B36" s="386" t="s">
        <v>46</v>
      </c>
      <c r="C36" s="68"/>
      <c r="D36" s="70"/>
      <c r="E36" s="69"/>
      <c r="F36" s="71"/>
      <c r="G36" s="70"/>
      <c r="H36" s="68"/>
      <c r="I36" s="69"/>
      <c r="J36" s="69"/>
      <c r="K36" s="70"/>
      <c r="L36" s="39">
        <v>0</v>
      </c>
      <c r="M36" s="71"/>
      <c r="N36" s="72"/>
      <c r="O36" s="72"/>
      <c r="P36" s="73"/>
      <c r="Q36" s="392"/>
      <c r="R36" s="72"/>
      <c r="S36" s="72"/>
      <c r="T36" s="72"/>
      <c r="U36" s="72"/>
      <c r="V36" s="393"/>
      <c r="W36" s="39">
        <v>0</v>
      </c>
      <c r="X36" s="71"/>
      <c r="Y36" s="69"/>
      <c r="Z36" s="72"/>
      <c r="AA36" s="73"/>
    </row>
    <row r="37" spans="1:27" ht="24.75" customHeight="1" thickBot="1">
      <c r="A37" s="591"/>
      <c r="B37" s="137" t="s">
        <v>47</v>
      </c>
      <c r="C37" s="77">
        <f>SUM(C33:C36)</f>
        <v>0</v>
      </c>
      <c r="D37" s="77">
        <f aca="true" t="shared" si="8" ref="D37:AA37">SUM(D33:D36)</f>
        <v>0</v>
      </c>
      <c r="E37" s="77">
        <f t="shared" si="8"/>
        <v>0</v>
      </c>
      <c r="F37" s="79">
        <f t="shared" si="8"/>
        <v>0</v>
      </c>
      <c r="G37" s="390">
        <f>SUM(G33:G36)</f>
        <v>35</v>
      </c>
      <c r="H37" s="38">
        <f t="shared" si="8"/>
        <v>0</v>
      </c>
      <c r="I37" s="31">
        <f t="shared" si="8"/>
        <v>0</v>
      </c>
      <c r="J37" s="31">
        <f t="shared" si="8"/>
        <v>0</v>
      </c>
      <c r="K37" s="32">
        <f t="shared" si="8"/>
        <v>0</v>
      </c>
      <c r="L37" s="39">
        <f t="shared" si="8"/>
        <v>0</v>
      </c>
      <c r="M37" s="38">
        <f t="shared" si="8"/>
        <v>0</v>
      </c>
      <c r="N37" s="31">
        <f t="shared" si="8"/>
        <v>0</v>
      </c>
      <c r="O37" s="31">
        <f t="shared" si="8"/>
        <v>2</v>
      </c>
      <c r="P37" s="31">
        <f t="shared" si="8"/>
        <v>4</v>
      </c>
      <c r="Q37" s="79">
        <f t="shared" si="8"/>
        <v>0</v>
      </c>
      <c r="R37" s="390">
        <f t="shared" si="8"/>
        <v>36</v>
      </c>
      <c r="S37" s="243">
        <f t="shared" si="8"/>
        <v>0</v>
      </c>
      <c r="T37" s="77">
        <f t="shared" si="8"/>
        <v>0</v>
      </c>
      <c r="U37" s="77">
        <f t="shared" si="8"/>
        <v>0</v>
      </c>
      <c r="V37" s="79">
        <f t="shared" si="8"/>
        <v>0</v>
      </c>
      <c r="W37" s="39">
        <f t="shared" si="8"/>
        <v>0</v>
      </c>
      <c r="X37" s="243">
        <f t="shared" si="8"/>
        <v>0</v>
      </c>
      <c r="Y37" s="77">
        <f t="shared" si="8"/>
        <v>0</v>
      </c>
      <c r="Z37" s="77">
        <f>SUM(Z33:Z36)</f>
        <v>5</v>
      </c>
      <c r="AA37" s="146">
        <f t="shared" si="8"/>
        <v>5</v>
      </c>
    </row>
    <row r="38" spans="1:27" ht="24.75" customHeight="1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6.25">
      <c r="A41" s="1"/>
      <c r="B41" s="82" t="s">
        <v>60</v>
      </c>
      <c r="C41" s="82"/>
      <c r="D41" s="82"/>
      <c r="E41" s="82"/>
      <c r="F41" s="82"/>
      <c r="G41" s="82"/>
      <c r="H41" s="82"/>
      <c r="I41" s="82"/>
      <c r="J41" s="82"/>
      <c r="K41" s="82" t="s">
        <v>59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86"/>
      <c r="AA41" s="86"/>
    </row>
    <row r="42" spans="1:27" ht="26.25">
      <c r="A42" s="87"/>
      <c r="B42" s="592"/>
      <c r="C42" s="592"/>
      <c r="D42" s="592"/>
      <c r="E42" s="592"/>
      <c r="F42" s="592"/>
      <c r="G42" s="592"/>
      <c r="H42" s="592"/>
      <c r="I42" s="592"/>
      <c r="J42" s="592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49</v>
      </c>
      <c r="U42" s="91" t="s">
        <v>50</v>
      </c>
      <c r="V42" s="91"/>
      <c r="W42" s="91"/>
      <c r="X42" s="90"/>
      <c r="Y42" s="90"/>
      <c r="Z42" s="92"/>
      <c r="AA42" s="92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/>
      <c r="L43" s="82"/>
      <c r="M43" s="82"/>
      <c r="N43" s="82"/>
      <c r="O43" s="82"/>
      <c r="P43" s="82"/>
      <c r="Q43" s="82"/>
      <c r="R43" s="82"/>
      <c r="S43" s="82"/>
      <c r="T43" s="84"/>
      <c r="U43" s="84"/>
      <c r="V43" s="84"/>
      <c r="W43" s="84"/>
      <c r="X43" s="93"/>
      <c r="Y43" s="93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2" t="s">
        <v>51</v>
      </c>
      <c r="L44" s="82"/>
      <c r="M44" s="82"/>
      <c r="N44" s="82"/>
      <c r="O44" s="82"/>
      <c r="P44" s="82"/>
      <c r="Q44" s="82"/>
      <c r="R44" s="83"/>
      <c r="S44" s="83"/>
      <c r="T44" s="84"/>
      <c r="U44" s="85"/>
      <c r="V44" s="85"/>
      <c r="W44" s="85"/>
      <c r="X44" s="85"/>
      <c r="Y44" s="86"/>
      <c r="Z44" s="94"/>
      <c r="AA44" s="94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 t="s">
        <v>48</v>
      </c>
      <c r="S45" s="89"/>
      <c r="T45" s="90" t="s">
        <v>52</v>
      </c>
      <c r="U45" s="91" t="s">
        <v>50</v>
      </c>
      <c r="V45" s="91"/>
      <c r="W45" s="91"/>
      <c r="X45" s="90"/>
      <c r="Y45" s="90"/>
      <c r="Z45" s="94"/>
      <c r="AA45" s="94"/>
    </row>
  </sheetData>
  <sheetProtection/>
  <mergeCells count="42">
    <mergeCell ref="A33:A37"/>
    <mergeCell ref="B42:J42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7"/>
  <sheetViews>
    <sheetView zoomScale="55" zoomScaleNormal="55" zoomScalePageLayoutView="0" workbookViewId="0" topLeftCell="A8">
      <selection activeCell="A16" sqref="A16:IV16"/>
    </sheetView>
  </sheetViews>
  <sheetFormatPr defaultColWidth="9.140625" defaultRowHeight="15"/>
  <cols>
    <col min="2" max="2" width="63.281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120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136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62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53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3">F14+Q14</f>
        <v>86</v>
      </c>
      <c r="F14" s="11">
        <f>G14+K14+N14+M14</f>
        <v>32</v>
      </c>
      <c r="G14" s="147">
        <f>H14+I14+J14</f>
        <v>32</v>
      </c>
      <c r="H14" s="10">
        <v>32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54</v>
      </c>
      <c r="R14" s="9">
        <f aca="true" t="shared" si="1" ref="R14:R33">S14+T14+U14</f>
        <v>34</v>
      </c>
      <c r="S14" s="10">
        <v>34</v>
      </c>
      <c r="T14" s="7"/>
      <c r="U14" s="8"/>
      <c r="V14" s="10"/>
      <c r="W14" s="7"/>
      <c r="X14" s="7">
        <v>20</v>
      </c>
      <c r="Y14" s="7"/>
      <c r="Z14" s="7" t="s">
        <v>138</v>
      </c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66</v>
      </c>
      <c r="F15" s="17">
        <f>G15+K15+N15+M15</f>
        <v>32</v>
      </c>
      <c r="G15" s="148">
        <f aca="true" t="shared" si="2" ref="G15:G33">H15+I15+J15</f>
        <v>32</v>
      </c>
      <c r="H15" s="16">
        <v>32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3" ref="Q15:Q33">V15+X15+Y15+R15</f>
        <v>34</v>
      </c>
      <c r="R15" s="15">
        <f t="shared" si="1"/>
        <v>34</v>
      </c>
      <c r="S15" s="16">
        <v>34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139</v>
      </c>
      <c r="C16" s="159">
        <v>144</v>
      </c>
      <c r="D16" s="12">
        <v>0</v>
      </c>
      <c r="E16" s="13">
        <f t="shared" si="0"/>
        <v>66</v>
      </c>
      <c r="F16" s="17">
        <f aca="true" t="shared" si="4" ref="F16:F33">G16+K16+N16+M16</f>
        <v>32</v>
      </c>
      <c r="G16" s="148">
        <f t="shared" si="2"/>
        <v>32</v>
      </c>
      <c r="H16" s="16">
        <v>32</v>
      </c>
      <c r="I16" s="13"/>
      <c r="J16" s="14"/>
      <c r="K16" s="16"/>
      <c r="L16" s="13"/>
      <c r="M16" s="13"/>
      <c r="N16" s="13"/>
      <c r="O16" s="13"/>
      <c r="P16" s="14"/>
      <c r="Q16" s="164">
        <f t="shared" si="3"/>
        <v>34</v>
      </c>
      <c r="R16" s="15">
        <f t="shared" si="1"/>
        <v>34</v>
      </c>
      <c r="S16" s="16">
        <v>34</v>
      </c>
      <c r="T16" s="13"/>
      <c r="U16" s="14"/>
      <c r="V16" s="16"/>
      <c r="W16" s="13"/>
      <c r="X16" s="13"/>
      <c r="Y16" s="13"/>
      <c r="Z16" s="13"/>
      <c r="AA16" s="17"/>
    </row>
    <row r="17" spans="1:27" s="239" customFormat="1" ht="20.25">
      <c r="A17" s="234" t="s">
        <v>31</v>
      </c>
      <c r="B17" s="154" t="s">
        <v>106</v>
      </c>
      <c r="C17" s="235">
        <v>130</v>
      </c>
      <c r="D17" s="12">
        <v>0</v>
      </c>
      <c r="E17" s="120">
        <f t="shared" si="0"/>
        <v>86</v>
      </c>
      <c r="F17" s="121">
        <f t="shared" si="4"/>
        <v>32</v>
      </c>
      <c r="G17" s="251">
        <f t="shared" si="2"/>
        <v>32</v>
      </c>
      <c r="H17" s="119">
        <v>32</v>
      </c>
      <c r="I17" s="120"/>
      <c r="J17" s="21"/>
      <c r="K17" s="119"/>
      <c r="L17" s="120"/>
      <c r="M17" s="120"/>
      <c r="N17" s="120"/>
      <c r="O17" s="120"/>
      <c r="P17" s="21"/>
      <c r="Q17" s="238">
        <f t="shared" si="3"/>
        <v>54</v>
      </c>
      <c r="R17" s="237">
        <f t="shared" si="1"/>
        <v>34</v>
      </c>
      <c r="S17" s="119">
        <v>34</v>
      </c>
      <c r="T17" s="120"/>
      <c r="U17" s="21"/>
      <c r="V17" s="119"/>
      <c r="W17" s="120"/>
      <c r="X17" s="120">
        <v>20</v>
      </c>
      <c r="Y17" s="120"/>
      <c r="Z17" s="120" t="s">
        <v>138</v>
      </c>
      <c r="AA17" s="121"/>
    </row>
    <row r="18" spans="1:27" s="239" customFormat="1" ht="20.25">
      <c r="A18" s="234" t="s">
        <v>32</v>
      </c>
      <c r="B18" s="154" t="s">
        <v>110</v>
      </c>
      <c r="C18" s="235">
        <v>242</v>
      </c>
      <c r="D18" s="12">
        <v>0</v>
      </c>
      <c r="E18" s="120">
        <f t="shared" si="0"/>
        <v>120</v>
      </c>
      <c r="F18" s="121">
        <f t="shared" si="4"/>
        <v>32</v>
      </c>
      <c r="G18" s="251">
        <f t="shared" si="2"/>
        <v>32</v>
      </c>
      <c r="H18" s="119">
        <v>32</v>
      </c>
      <c r="I18" s="120"/>
      <c r="J18" s="21"/>
      <c r="K18" s="119"/>
      <c r="L18" s="120"/>
      <c r="M18" s="120"/>
      <c r="N18" s="120"/>
      <c r="O18" s="120"/>
      <c r="P18" s="21"/>
      <c r="Q18" s="238">
        <f t="shared" si="3"/>
        <v>88</v>
      </c>
      <c r="R18" s="237">
        <f t="shared" si="1"/>
        <v>68</v>
      </c>
      <c r="S18" s="119">
        <v>68</v>
      </c>
      <c r="T18" s="120"/>
      <c r="U18" s="21"/>
      <c r="V18" s="119"/>
      <c r="W18" s="120"/>
      <c r="X18" s="120">
        <v>20</v>
      </c>
      <c r="Y18" s="120"/>
      <c r="Z18" s="120" t="s">
        <v>138</v>
      </c>
      <c r="AA18" s="121"/>
    </row>
    <row r="19" spans="1:27" ht="20.25">
      <c r="A19" s="138" t="s">
        <v>33</v>
      </c>
      <c r="B19" s="154" t="s">
        <v>111</v>
      </c>
      <c r="C19" s="159">
        <v>216</v>
      </c>
      <c r="D19" s="12">
        <v>0</v>
      </c>
      <c r="E19" s="13">
        <f t="shared" si="0"/>
        <v>100</v>
      </c>
      <c r="F19" s="17">
        <f t="shared" si="4"/>
        <v>48</v>
      </c>
      <c r="G19" s="148">
        <f t="shared" si="2"/>
        <v>48</v>
      </c>
      <c r="H19" s="16">
        <f>3*16</f>
        <v>48</v>
      </c>
      <c r="I19" s="13"/>
      <c r="J19" s="14"/>
      <c r="K19" s="16"/>
      <c r="L19" s="13"/>
      <c r="M19" s="13"/>
      <c r="N19" s="13"/>
      <c r="O19" s="13"/>
      <c r="P19" s="14"/>
      <c r="Q19" s="164">
        <f t="shared" si="3"/>
        <v>52</v>
      </c>
      <c r="R19" s="15">
        <f t="shared" si="1"/>
        <v>52</v>
      </c>
      <c r="S19" s="16">
        <v>52</v>
      </c>
      <c r="T19" s="13"/>
      <c r="U19" s="14"/>
      <c r="V19" s="16"/>
      <c r="W19" s="13"/>
      <c r="X19" s="13"/>
      <c r="Y19" s="13"/>
      <c r="Z19" s="13"/>
      <c r="AA19" s="17"/>
    </row>
    <row r="20" spans="1:27" ht="20.25">
      <c r="A20" s="138" t="s">
        <v>34</v>
      </c>
      <c r="B20" s="154" t="s">
        <v>140</v>
      </c>
      <c r="C20" s="159">
        <v>68</v>
      </c>
      <c r="D20" s="12">
        <v>0</v>
      </c>
      <c r="E20" s="13">
        <f t="shared" si="0"/>
        <v>71</v>
      </c>
      <c r="F20" s="17">
        <f t="shared" si="4"/>
        <v>37</v>
      </c>
      <c r="G20" s="148">
        <f t="shared" si="2"/>
        <v>32</v>
      </c>
      <c r="H20" s="16">
        <v>32</v>
      </c>
      <c r="I20" s="13"/>
      <c r="J20" s="14"/>
      <c r="K20" s="16"/>
      <c r="L20" s="13"/>
      <c r="M20" s="13">
        <v>5</v>
      </c>
      <c r="N20" s="13"/>
      <c r="O20" s="13"/>
      <c r="P20" s="14"/>
      <c r="Q20" s="164">
        <f t="shared" si="3"/>
        <v>34</v>
      </c>
      <c r="R20" s="15">
        <f t="shared" si="1"/>
        <v>34</v>
      </c>
      <c r="S20" s="16">
        <v>34</v>
      </c>
      <c r="T20" s="13"/>
      <c r="U20" s="14"/>
      <c r="V20" s="16"/>
      <c r="W20" s="13"/>
      <c r="X20" s="13"/>
      <c r="Y20" s="13"/>
      <c r="Z20" s="13"/>
      <c r="AA20" s="17"/>
    </row>
    <row r="21" spans="1:27" ht="20.25">
      <c r="A21" s="138" t="s">
        <v>35</v>
      </c>
      <c r="B21" s="154" t="s">
        <v>115</v>
      </c>
      <c r="C21" s="159">
        <v>223</v>
      </c>
      <c r="D21" s="12">
        <v>0</v>
      </c>
      <c r="E21" s="13">
        <f t="shared" si="0"/>
        <v>101</v>
      </c>
      <c r="F21" s="17">
        <f t="shared" si="4"/>
        <v>51</v>
      </c>
      <c r="G21" s="148">
        <f t="shared" si="2"/>
        <v>48</v>
      </c>
      <c r="H21" s="16">
        <f>3*16</f>
        <v>48</v>
      </c>
      <c r="I21" s="13"/>
      <c r="J21" s="14"/>
      <c r="K21" s="16"/>
      <c r="L21" s="13"/>
      <c r="M21" s="13">
        <v>3</v>
      </c>
      <c r="N21" s="13"/>
      <c r="O21" s="13"/>
      <c r="P21" s="14"/>
      <c r="Q21" s="164">
        <f t="shared" si="3"/>
        <v>50</v>
      </c>
      <c r="R21" s="15">
        <f t="shared" si="1"/>
        <v>50</v>
      </c>
      <c r="S21" s="16">
        <v>50</v>
      </c>
      <c r="T21" s="13"/>
      <c r="U21" s="14"/>
      <c r="V21" s="16"/>
      <c r="W21" s="13"/>
      <c r="X21" s="13"/>
      <c r="Y21" s="13"/>
      <c r="Z21" s="13"/>
      <c r="AA21" s="17"/>
    </row>
    <row r="22" spans="1:27" ht="21" thickBot="1">
      <c r="A22" s="287" t="s">
        <v>36</v>
      </c>
      <c r="B22" s="288" t="s">
        <v>116</v>
      </c>
      <c r="C22" s="292">
        <v>110</v>
      </c>
      <c r="D22" s="291">
        <v>0</v>
      </c>
      <c r="E22" s="95">
        <f t="shared" si="0"/>
        <v>32</v>
      </c>
      <c r="F22" s="99">
        <f t="shared" si="4"/>
        <v>32</v>
      </c>
      <c r="G22" s="149">
        <f t="shared" si="2"/>
        <v>32</v>
      </c>
      <c r="H22" s="289">
        <v>32</v>
      </c>
      <c r="I22" s="95"/>
      <c r="J22" s="96"/>
      <c r="K22" s="98"/>
      <c r="L22" s="95"/>
      <c r="M22" s="95"/>
      <c r="N22" s="95"/>
      <c r="O22" s="95"/>
      <c r="P22" s="96"/>
      <c r="Q22" s="165">
        <f t="shared" si="3"/>
        <v>0</v>
      </c>
      <c r="R22" s="97">
        <f t="shared" si="1"/>
        <v>0</v>
      </c>
      <c r="S22" s="290"/>
      <c r="T22" s="95"/>
      <c r="U22" s="96"/>
      <c r="V22" s="98"/>
      <c r="W22" s="95"/>
      <c r="X22" s="95"/>
      <c r="Y22" s="95"/>
      <c r="Z22" s="95"/>
      <c r="AA22" s="99"/>
    </row>
    <row r="23" spans="1:27" ht="20.25">
      <c r="A23" s="101" t="s">
        <v>37</v>
      </c>
      <c r="B23" s="286" t="s">
        <v>124</v>
      </c>
      <c r="C23" s="158">
        <v>75</v>
      </c>
      <c r="D23" s="6">
        <f>E23/30</f>
        <v>2.5</v>
      </c>
      <c r="E23" s="7">
        <f t="shared" si="0"/>
        <v>75</v>
      </c>
      <c r="F23" s="11">
        <f t="shared" si="4"/>
        <v>75</v>
      </c>
      <c r="G23" s="259">
        <f t="shared" si="2"/>
        <v>32</v>
      </c>
      <c r="H23" s="113">
        <v>18</v>
      </c>
      <c r="I23" s="110"/>
      <c r="J23" s="111">
        <v>14</v>
      </c>
      <c r="K23" s="113">
        <v>43</v>
      </c>
      <c r="L23" s="110"/>
      <c r="M23" s="110"/>
      <c r="N23" s="110"/>
      <c r="O23" s="110"/>
      <c r="P23" s="111" t="s">
        <v>67</v>
      </c>
      <c r="Q23" s="163">
        <f t="shared" si="3"/>
        <v>0</v>
      </c>
      <c r="R23" s="9">
        <f t="shared" si="1"/>
        <v>0</v>
      </c>
      <c r="S23" s="10"/>
      <c r="T23" s="296"/>
      <c r="U23" s="297"/>
      <c r="V23" s="248"/>
      <c r="W23" s="110"/>
      <c r="X23" s="110"/>
      <c r="Y23" s="110"/>
      <c r="Z23" s="110"/>
      <c r="AA23" s="249"/>
    </row>
    <row r="24" spans="1:27" ht="40.5">
      <c r="A24" s="138" t="s">
        <v>38</v>
      </c>
      <c r="B24" s="293" t="s">
        <v>86</v>
      </c>
      <c r="C24" s="159">
        <v>60</v>
      </c>
      <c r="D24" s="12">
        <f>E24/30</f>
        <v>2</v>
      </c>
      <c r="E24" s="13">
        <f t="shared" si="0"/>
        <v>60</v>
      </c>
      <c r="F24" s="17">
        <f t="shared" si="4"/>
        <v>0</v>
      </c>
      <c r="G24" s="301">
        <f t="shared" si="2"/>
        <v>0</v>
      </c>
      <c r="H24" s="16"/>
      <c r="I24" s="13"/>
      <c r="J24" s="14"/>
      <c r="K24" s="16"/>
      <c r="L24" s="13"/>
      <c r="M24" s="13"/>
      <c r="N24" s="13"/>
      <c r="O24" s="13"/>
      <c r="P24" s="14"/>
      <c r="Q24" s="164">
        <f t="shared" si="3"/>
        <v>60</v>
      </c>
      <c r="R24" s="15">
        <f t="shared" si="1"/>
        <v>34</v>
      </c>
      <c r="S24" s="16">
        <v>18</v>
      </c>
      <c r="T24" s="166"/>
      <c r="U24" s="298">
        <v>16</v>
      </c>
      <c r="V24" s="20">
        <v>26</v>
      </c>
      <c r="W24" s="13"/>
      <c r="X24" s="13"/>
      <c r="Y24" s="13"/>
      <c r="Z24" s="13"/>
      <c r="AA24" s="121" t="s">
        <v>67</v>
      </c>
    </row>
    <row r="25" spans="1:27" ht="20.25">
      <c r="A25" s="234" t="s">
        <v>39</v>
      </c>
      <c r="B25" s="156" t="s">
        <v>141</v>
      </c>
      <c r="C25" s="159">
        <v>90</v>
      </c>
      <c r="D25" s="12">
        <f aca="true" t="shared" si="5" ref="D25:D31">E25/30</f>
        <v>3</v>
      </c>
      <c r="E25" s="13">
        <f t="shared" si="0"/>
        <v>90</v>
      </c>
      <c r="F25" s="17">
        <f t="shared" si="4"/>
        <v>90</v>
      </c>
      <c r="G25" s="301">
        <f t="shared" si="2"/>
        <v>48</v>
      </c>
      <c r="H25" s="16">
        <v>28</v>
      </c>
      <c r="I25" s="13"/>
      <c r="J25" s="14">
        <v>20</v>
      </c>
      <c r="K25" s="16">
        <v>42</v>
      </c>
      <c r="L25" s="13"/>
      <c r="M25" s="13"/>
      <c r="N25" s="13"/>
      <c r="O25" s="13"/>
      <c r="P25" s="14" t="s">
        <v>67</v>
      </c>
      <c r="Q25" s="164">
        <f t="shared" si="3"/>
        <v>0</v>
      </c>
      <c r="R25" s="15">
        <f t="shared" si="1"/>
        <v>0</v>
      </c>
      <c r="S25" s="16"/>
      <c r="T25" s="166"/>
      <c r="U25" s="298"/>
      <c r="V25" s="20"/>
      <c r="W25" s="13"/>
      <c r="X25" s="13"/>
      <c r="Y25" s="13"/>
      <c r="Z25" s="13"/>
      <c r="AA25" s="121"/>
    </row>
    <row r="26" spans="1:27" ht="20.25">
      <c r="A26" s="270" t="s">
        <v>40</v>
      </c>
      <c r="B26" s="294" t="s">
        <v>142</v>
      </c>
      <c r="C26" s="170">
        <v>90</v>
      </c>
      <c r="D26" s="12">
        <f t="shared" si="5"/>
        <v>3</v>
      </c>
      <c r="E26" s="13">
        <f t="shared" si="0"/>
        <v>90</v>
      </c>
      <c r="F26" s="17">
        <f t="shared" si="4"/>
        <v>0</v>
      </c>
      <c r="G26" s="301">
        <f t="shared" si="2"/>
        <v>0</v>
      </c>
      <c r="H26" s="176"/>
      <c r="I26" s="172"/>
      <c r="J26" s="173"/>
      <c r="K26" s="176"/>
      <c r="L26" s="172"/>
      <c r="M26" s="172"/>
      <c r="N26" s="172"/>
      <c r="O26" s="172"/>
      <c r="P26" s="173"/>
      <c r="Q26" s="164">
        <f t="shared" si="3"/>
        <v>90</v>
      </c>
      <c r="R26" s="15">
        <f t="shared" si="1"/>
        <v>34</v>
      </c>
      <c r="S26" s="176">
        <v>20</v>
      </c>
      <c r="T26" s="295"/>
      <c r="U26" s="299">
        <v>14</v>
      </c>
      <c r="V26" s="182">
        <v>56</v>
      </c>
      <c r="W26" s="172"/>
      <c r="X26" s="172"/>
      <c r="Y26" s="172"/>
      <c r="Z26" s="172"/>
      <c r="AA26" s="276" t="s">
        <v>67</v>
      </c>
    </row>
    <row r="27" spans="1:27" ht="20.25">
      <c r="A27" s="138" t="s">
        <v>41</v>
      </c>
      <c r="B27" s="294" t="s">
        <v>145</v>
      </c>
      <c r="C27" s="170">
        <v>90</v>
      </c>
      <c r="D27" s="12">
        <f t="shared" si="5"/>
        <v>3</v>
      </c>
      <c r="E27" s="13">
        <f t="shared" si="0"/>
        <v>90</v>
      </c>
      <c r="F27" s="17">
        <f t="shared" si="4"/>
        <v>0</v>
      </c>
      <c r="G27" s="301">
        <f t="shared" si="2"/>
        <v>0</v>
      </c>
      <c r="H27" s="176"/>
      <c r="I27" s="172"/>
      <c r="J27" s="173"/>
      <c r="K27" s="176"/>
      <c r="L27" s="172"/>
      <c r="M27" s="172"/>
      <c r="N27" s="172"/>
      <c r="O27" s="172"/>
      <c r="P27" s="173"/>
      <c r="Q27" s="164">
        <f t="shared" si="3"/>
        <v>90</v>
      </c>
      <c r="R27" s="15">
        <f t="shared" si="1"/>
        <v>50</v>
      </c>
      <c r="S27" s="176">
        <v>34</v>
      </c>
      <c r="T27" s="295"/>
      <c r="U27" s="299">
        <v>16</v>
      </c>
      <c r="V27" s="182">
        <v>40</v>
      </c>
      <c r="W27" s="172"/>
      <c r="X27" s="172"/>
      <c r="Y27" s="172"/>
      <c r="Z27" s="172"/>
      <c r="AA27" s="276" t="s">
        <v>67</v>
      </c>
    </row>
    <row r="28" spans="1:27" ht="20.25">
      <c r="A28" s="234" t="s">
        <v>55</v>
      </c>
      <c r="B28" s="294" t="s">
        <v>146</v>
      </c>
      <c r="C28" s="170">
        <v>90</v>
      </c>
      <c r="D28" s="12">
        <f t="shared" si="5"/>
        <v>3</v>
      </c>
      <c r="E28" s="13">
        <f t="shared" si="0"/>
        <v>90</v>
      </c>
      <c r="F28" s="17">
        <f t="shared" si="4"/>
        <v>90</v>
      </c>
      <c r="G28" s="301">
        <f t="shared" si="2"/>
        <v>48</v>
      </c>
      <c r="H28" s="176">
        <v>18</v>
      </c>
      <c r="I28" s="172"/>
      <c r="J28" s="173">
        <v>30</v>
      </c>
      <c r="K28" s="176">
        <v>42</v>
      </c>
      <c r="L28" s="172"/>
      <c r="M28" s="172"/>
      <c r="N28" s="172"/>
      <c r="O28" s="172"/>
      <c r="P28" s="173" t="s">
        <v>67</v>
      </c>
      <c r="Q28" s="164">
        <f t="shared" si="3"/>
        <v>0</v>
      </c>
      <c r="R28" s="15">
        <f t="shared" si="1"/>
        <v>0</v>
      </c>
      <c r="S28" s="176"/>
      <c r="T28" s="295"/>
      <c r="U28" s="299"/>
      <c r="V28" s="182"/>
      <c r="W28" s="172"/>
      <c r="X28" s="172"/>
      <c r="Y28" s="172"/>
      <c r="Z28" s="172"/>
      <c r="AA28" s="276"/>
    </row>
    <row r="29" spans="1:27" ht="20.25">
      <c r="A29" s="270" t="s">
        <v>56</v>
      </c>
      <c r="B29" s="294" t="s">
        <v>147</v>
      </c>
      <c r="C29" s="170">
        <v>90</v>
      </c>
      <c r="D29" s="12">
        <f t="shared" si="5"/>
        <v>3</v>
      </c>
      <c r="E29" s="13">
        <f t="shared" si="0"/>
        <v>90</v>
      </c>
      <c r="F29" s="17">
        <f t="shared" si="4"/>
        <v>90</v>
      </c>
      <c r="G29" s="301">
        <f t="shared" si="2"/>
        <v>48</v>
      </c>
      <c r="H29" s="176">
        <v>28</v>
      </c>
      <c r="I29" s="172"/>
      <c r="J29" s="173">
        <v>20</v>
      </c>
      <c r="K29" s="176">
        <v>42</v>
      </c>
      <c r="L29" s="172"/>
      <c r="M29" s="172"/>
      <c r="N29" s="172"/>
      <c r="O29" s="172" t="s">
        <v>69</v>
      </c>
      <c r="P29" s="173"/>
      <c r="Q29" s="164">
        <f t="shared" si="3"/>
        <v>0</v>
      </c>
      <c r="R29" s="15">
        <f t="shared" si="1"/>
        <v>0</v>
      </c>
      <c r="S29" s="176"/>
      <c r="T29" s="295"/>
      <c r="U29" s="299"/>
      <c r="V29" s="182"/>
      <c r="W29" s="172"/>
      <c r="X29" s="172"/>
      <c r="Y29" s="172"/>
      <c r="Z29" s="172"/>
      <c r="AA29" s="276"/>
    </row>
    <row r="30" spans="1:27" ht="20.25">
      <c r="A30" s="138" t="s">
        <v>57</v>
      </c>
      <c r="B30" s="294" t="s">
        <v>148</v>
      </c>
      <c r="C30" s="170">
        <v>105</v>
      </c>
      <c r="D30" s="12">
        <f t="shared" si="5"/>
        <v>3.5</v>
      </c>
      <c r="E30" s="13">
        <f t="shared" si="0"/>
        <v>105</v>
      </c>
      <c r="F30" s="17">
        <f t="shared" si="4"/>
        <v>105</v>
      </c>
      <c r="G30" s="301">
        <f t="shared" si="2"/>
        <v>48</v>
      </c>
      <c r="H30" s="176">
        <v>28</v>
      </c>
      <c r="I30" s="172"/>
      <c r="J30" s="173">
        <v>20</v>
      </c>
      <c r="K30" s="176">
        <v>57</v>
      </c>
      <c r="L30" s="172"/>
      <c r="M30" s="172"/>
      <c r="N30" s="172"/>
      <c r="O30" s="172"/>
      <c r="P30" s="173" t="s">
        <v>67</v>
      </c>
      <c r="Q30" s="164">
        <f t="shared" si="3"/>
        <v>0</v>
      </c>
      <c r="R30" s="15">
        <f t="shared" si="1"/>
        <v>0</v>
      </c>
      <c r="S30" s="176"/>
      <c r="T30" s="295"/>
      <c r="U30" s="299"/>
      <c r="V30" s="182"/>
      <c r="W30" s="172"/>
      <c r="X30" s="172"/>
      <c r="Y30" s="172"/>
      <c r="Z30" s="172"/>
      <c r="AA30" s="276"/>
    </row>
    <row r="31" spans="1:27" ht="41.25" thickBot="1">
      <c r="A31" s="270" t="s">
        <v>143</v>
      </c>
      <c r="B31" s="304" t="s">
        <v>85</v>
      </c>
      <c r="C31" s="170">
        <v>60</v>
      </c>
      <c r="D31" s="171">
        <f t="shared" si="5"/>
        <v>2</v>
      </c>
      <c r="E31" s="172">
        <f t="shared" si="0"/>
        <v>60</v>
      </c>
      <c r="F31" s="184">
        <f t="shared" si="4"/>
        <v>0</v>
      </c>
      <c r="G31" s="303">
        <f t="shared" si="2"/>
        <v>0</v>
      </c>
      <c r="H31" s="176"/>
      <c r="I31" s="172"/>
      <c r="J31" s="173"/>
      <c r="K31" s="176"/>
      <c r="L31" s="172"/>
      <c r="M31" s="172"/>
      <c r="N31" s="172"/>
      <c r="O31" s="172"/>
      <c r="P31" s="173"/>
      <c r="Q31" s="183">
        <f t="shared" si="3"/>
        <v>60</v>
      </c>
      <c r="R31" s="118">
        <f t="shared" si="1"/>
        <v>34</v>
      </c>
      <c r="S31" s="176">
        <v>24</v>
      </c>
      <c r="T31" s="295"/>
      <c r="U31" s="299">
        <v>10</v>
      </c>
      <c r="V31" s="182">
        <v>26</v>
      </c>
      <c r="W31" s="172"/>
      <c r="X31" s="172"/>
      <c r="Y31" s="172"/>
      <c r="Z31" s="172" t="s">
        <v>70</v>
      </c>
      <c r="AA31" s="276"/>
    </row>
    <row r="32" spans="1:27" ht="21" thickBot="1">
      <c r="A32" s="215" t="s">
        <v>144</v>
      </c>
      <c r="B32" s="315" t="s">
        <v>137</v>
      </c>
      <c r="C32" s="316">
        <v>120</v>
      </c>
      <c r="D32" s="317">
        <f>E32/30</f>
        <v>4</v>
      </c>
      <c r="E32" s="219">
        <f t="shared" si="0"/>
        <v>120</v>
      </c>
      <c r="F32" s="220">
        <f t="shared" si="4"/>
        <v>0</v>
      </c>
      <c r="G32" s="221">
        <f t="shared" si="2"/>
        <v>0</v>
      </c>
      <c r="H32" s="222"/>
      <c r="I32" s="318"/>
      <c r="J32" s="225"/>
      <c r="K32" s="226"/>
      <c r="L32" s="318"/>
      <c r="M32" s="318"/>
      <c r="N32" s="318"/>
      <c r="O32" s="219"/>
      <c r="P32" s="220"/>
      <c r="Q32" s="223">
        <f t="shared" si="3"/>
        <v>120</v>
      </c>
      <c r="R32" s="221">
        <f t="shared" si="1"/>
        <v>68</v>
      </c>
      <c r="S32" s="222">
        <v>38</v>
      </c>
      <c r="T32" s="318"/>
      <c r="U32" s="225">
        <v>30</v>
      </c>
      <c r="V32" s="226">
        <v>52</v>
      </c>
      <c r="W32" s="318"/>
      <c r="X32" s="318"/>
      <c r="Y32" s="318"/>
      <c r="Z32" s="219"/>
      <c r="AA32" s="227" t="s">
        <v>67</v>
      </c>
    </row>
    <row r="33" spans="1:27" ht="21" thickBot="1">
      <c r="A33" s="305" t="s">
        <v>149</v>
      </c>
      <c r="B33" s="306" t="s">
        <v>100</v>
      </c>
      <c r="C33" s="307">
        <v>360</v>
      </c>
      <c r="D33" s="109">
        <f>E33/30</f>
        <v>5</v>
      </c>
      <c r="E33" s="110">
        <f t="shared" si="0"/>
        <v>150</v>
      </c>
      <c r="F33" s="111">
        <f t="shared" si="4"/>
        <v>0</v>
      </c>
      <c r="G33" s="308">
        <f t="shared" si="2"/>
        <v>0</v>
      </c>
      <c r="H33" s="309"/>
      <c r="I33" s="310"/>
      <c r="J33" s="311"/>
      <c r="K33" s="312"/>
      <c r="L33" s="310"/>
      <c r="M33" s="310"/>
      <c r="N33" s="310"/>
      <c r="O33" s="313"/>
      <c r="P33" s="269"/>
      <c r="Q33" s="245">
        <f t="shared" si="3"/>
        <v>150</v>
      </c>
      <c r="R33" s="112">
        <f t="shared" si="1"/>
        <v>90</v>
      </c>
      <c r="S33" s="309"/>
      <c r="T33" s="310"/>
      <c r="U33" s="311">
        <f>3*30</f>
        <v>90</v>
      </c>
      <c r="V33" s="312">
        <v>60</v>
      </c>
      <c r="W33" s="310"/>
      <c r="X33" s="310"/>
      <c r="Y33" s="310"/>
      <c r="Z33" s="313"/>
      <c r="AA33" s="314"/>
    </row>
    <row r="34" spans="1:27" ht="21" thickBot="1">
      <c r="A34" s="240"/>
      <c r="B34" s="241" t="s">
        <v>42</v>
      </c>
      <c r="C34" s="242">
        <f>SUM(C14:C33)</f>
        <v>2671</v>
      </c>
      <c r="D34" s="242">
        <f aca="true" t="shared" si="6" ref="D34:N34">SUM(D14:D33)</f>
        <v>34</v>
      </c>
      <c r="E34" s="242">
        <f t="shared" si="6"/>
        <v>1748</v>
      </c>
      <c r="F34" s="242">
        <f t="shared" si="6"/>
        <v>778</v>
      </c>
      <c r="G34" s="242">
        <f t="shared" si="6"/>
        <v>544</v>
      </c>
      <c r="H34" s="242">
        <f>SUM(H14:H33)</f>
        <v>440</v>
      </c>
      <c r="I34" s="242">
        <f t="shared" si="6"/>
        <v>0</v>
      </c>
      <c r="J34" s="242">
        <f t="shared" si="6"/>
        <v>104</v>
      </c>
      <c r="K34" s="242">
        <f t="shared" si="6"/>
        <v>226</v>
      </c>
      <c r="L34" s="242">
        <f t="shared" si="6"/>
        <v>0</v>
      </c>
      <c r="M34" s="242">
        <f t="shared" si="6"/>
        <v>8</v>
      </c>
      <c r="N34" s="242">
        <f t="shared" si="6"/>
        <v>0</v>
      </c>
      <c r="O34" s="242">
        <v>1</v>
      </c>
      <c r="P34" s="242">
        <v>4</v>
      </c>
      <c r="Q34" s="39">
        <f>SUM(Q14:Q33)</f>
        <v>970</v>
      </c>
      <c r="R34" s="39">
        <f>SUM(R14:R32)</f>
        <v>560</v>
      </c>
      <c r="S34" s="39">
        <f aca="true" t="shared" si="7" ref="S34:Y34">SUM(S14:S33)</f>
        <v>474</v>
      </c>
      <c r="T34" s="39">
        <f t="shared" si="7"/>
        <v>0</v>
      </c>
      <c r="U34" s="39">
        <f t="shared" si="7"/>
        <v>176</v>
      </c>
      <c r="V34" s="39">
        <f t="shared" si="7"/>
        <v>260</v>
      </c>
      <c r="W34" s="39">
        <f t="shared" si="7"/>
        <v>0</v>
      </c>
      <c r="X34" s="39">
        <f t="shared" si="7"/>
        <v>60</v>
      </c>
      <c r="Y34" s="39">
        <f t="shared" si="7"/>
        <v>0</v>
      </c>
      <c r="Z34" s="39">
        <v>4</v>
      </c>
      <c r="AA34" s="39">
        <v>3</v>
      </c>
    </row>
    <row r="35" spans="1:27" ht="21" thickBot="1">
      <c r="A35" s="589"/>
      <c r="B35" s="40" t="s">
        <v>43</v>
      </c>
      <c r="C35" s="41"/>
      <c r="D35" s="42"/>
      <c r="E35" s="43"/>
      <c r="F35" s="44"/>
      <c r="G35" s="45">
        <f>G34/J10</f>
        <v>34</v>
      </c>
      <c r="H35" s="46"/>
      <c r="I35" s="47"/>
      <c r="J35" s="47"/>
      <c r="K35" s="47"/>
      <c r="L35" s="47"/>
      <c r="M35" s="47"/>
      <c r="N35" s="47"/>
      <c r="O35" s="48"/>
      <c r="P35" s="49"/>
      <c r="Q35" s="44"/>
      <c r="R35" s="50">
        <f>SUM(R14:R33)/U10</f>
        <v>38.23529411764706</v>
      </c>
      <c r="S35" s="51"/>
      <c r="T35" s="41"/>
      <c r="U35" s="41"/>
      <c r="V35" s="41"/>
      <c r="W35" s="41"/>
      <c r="X35" s="41"/>
      <c r="Y35" s="41"/>
      <c r="Z35" s="52"/>
      <c r="AA35" s="143"/>
    </row>
    <row r="36" spans="1:27" ht="21" thickBot="1">
      <c r="A36" s="590"/>
      <c r="B36" s="53" t="s">
        <v>44</v>
      </c>
      <c r="C36" s="43"/>
      <c r="D36" s="54"/>
      <c r="E36" s="43"/>
      <c r="F36" s="55"/>
      <c r="G36" s="56"/>
      <c r="H36" s="57"/>
      <c r="I36" s="43"/>
      <c r="J36" s="43"/>
      <c r="K36" s="43"/>
      <c r="L36" s="43"/>
      <c r="M36" s="43"/>
      <c r="N36" s="58"/>
      <c r="O36" s="39">
        <v>1</v>
      </c>
      <c r="P36" s="59"/>
      <c r="Q36" s="60"/>
      <c r="R36" s="61"/>
      <c r="S36" s="62"/>
      <c r="T36" s="62"/>
      <c r="U36" s="62"/>
      <c r="V36" s="62"/>
      <c r="W36" s="62"/>
      <c r="X36" s="62"/>
      <c r="Y36" s="58"/>
      <c r="Z36" s="39">
        <v>4</v>
      </c>
      <c r="AA36" s="144"/>
    </row>
    <row r="37" spans="1:27" ht="21" thickBot="1">
      <c r="A37" s="590"/>
      <c r="B37" s="53" t="s">
        <v>45</v>
      </c>
      <c r="C37" s="43"/>
      <c r="D37" s="54"/>
      <c r="E37" s="43"/>
      <c r="F37" s="55"/>
      <c r="G37" s="58"/>
      <c r="H37" s="57"/>
      <c r="I37" s="43"/>
      <c r="J37" s="43"/>
      <c r="K37" s="43"/>
      <c r="L37" s="63"/>
      <c r="M37" s="43"/>
      <c r="N37" s="62"/>
      <c r="O37" s="56"/>
      <c r="P37" s="39">
        <v>4</v>
      </c>
      <c r="Q37" s="60"/>
      <c r="R37" s="62"/>
      <c r="S37" s="62"/>
      <c r="T37" s="62"/>
      <c r="U37" s="62"/>
      <c r="V37" s="62"/>
      <c r="W37" s="64"/>
      <c r="X37" s="62"/>
      <c r="Y37" s="62"/>
      <c r="Z37" s="56"/>
      <c r="AA37" s="39">
        <v>4</v>
      </c>
    </row>
    <row r="38" spans="1:27" ht="21" thickBot="1">
      <c r="A38" s="590"/>
      <c r="B38" s="65" t="s">
        <v>46</v>
      </c>
      <c r="C38" s="63"/>
      <c r="D38" s="66"/>
      <c r="E38" s="63"/>
      <c r="F38" s="67"/>
      <c r="G38" s="66"/>
      <c r="H38" s="68"/>
      <c r="I38" s="69"/>
      <c r="J38" s="69"/>
      <c r="K38" s="70"/>
      <c r="L38" s="39">
        <f>COUNT(L14:L33)</f>
        <v>0</v>
      </c>
      <c r="M38" s="71"/>
      <c r="N38" s="72"/>
      <c r="O38" s="72"/>
      <c r="P38" s="73"/>
      <c r="Q38" s="74"/>
      <c r="R38" s="64"/>
      <c r="S38" s="64"/>
      <c r="T38" s="64"/>
      <c r="U38" s="64"/>
      <c r="V38" s="75"/>
      <c r="W38" s="39">
        <v>0</v>
      </c>
      <c r="X38" s="67"/>
      <c r="Y38" s="63"/>
      <c r="Z38" s="64"/>
      <c r="AA38" s="145"/>
    </row>
    <row r="39" spans="1:27" ht="21" thickBot="1">
      <c r="A39" s="591"/>
      <c r="B39" s="137" t="s">
        <v>47</v>
      </c>
      <c r="C39" s="77">
        <f>SUM(C35:C38)</f>
        <v>0</v>
      </c>
      <c r="D39" s="77">
        <f aca="true" t="shared" si="8" ref="D39:AA39">SUM(D35:D38)</f>
        <v>0</v>
      </c>
      <c r="E39" s="77">
        <f t="shared" si="8"/>
        <v>0</v>
      </c>
      <c r="F39" s="77">
        <f t="shared" si="8"/>
        <v>0</v>
      </c>
      <c r="G39" s="78">
        <f>SUM(G35:G38)</f>
        <v>34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2">
        <f t="shared" si="8"/>
        <v>0</v>
      </c>
      <c r="L39" s="39">
        <f t="shared" si="8"/>
        <v>0</v>
      </c>
      <c r="M39" s="38">
        <f t="shared" si="8"/>
        <v>0</v>
      </c>
      <c r="N39" s="31">
        <f t="shared" si="8"/>
        <v>0</v>
      </c>
      <c r="O39" s="31">
        <f t="shared" si="8"/>
        <v>1</v>
      </c>
      <c r="P39" s="31">
        <f t="shared" si="8"/>
        <v>4</v>
      </c>
      <c r="Q39" s="77">
        <f t="shared" si="8"/>
        <v>0</v>
      </c>
      <c r="R39" s="78">
        <f t="shared" si="8"/>
        <v>38.23529411764706</v>
      </c>
      <c r="S39" s="77">
        <f t="shared" si="8"/>
        <v>0</v>
      </c>
      <c r="T39" s="77">
        <f t="shared" si="8"/>
        <v>0</v>
      </c>
      <c r="U39" s="77">
        <f t="shared" si="8"/>
        <v>0</v>
      </c>
      <c r="V39" s="77">
        <f t="shared" si="8"/>
        <v>0</v>
      </c>
      <c r="W39" s="77">
        <f t="shared" si="8"/>
        <v>0</v>
      </c>
      <c r="X39" s="77">
        <f t="shared" si="8"/>
        <v>0</v>
      </c>
      <c r="Y39" s="77">
        <f t="shared" si="8"/>
        <v>0</v>
      </c>
      <c r="Z39" s="77">
        <f t="shared" si="8"/>
        <v>4</v>
      </c>
      <c r="AA39" s="146">
        <f t="shared" si="8"/>
        <v>4</v>
      </c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0.25">
      <c r="A41" s="80"/>
      <c r="B41" s="80"/>
      <c r="C41" s="81"/>
      <c r="D41" s="80"/>
      <c r="E41" s="81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</row>
    <row r="42" spans="1:27" ht="20.25">
      <c r="A42" s="80"/>
      <c r="B42" s="80"/>
      <c r="C42" s="81"/>
      <c r="D42" s="80"/>
      <c r="E42" s="81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1:27" ht="26.25">
      <c r="A43" s="1"/>
      <c r="B43" s="82" t="s">
        <v>60</v>
      </c>
      <c r="C43" s="82"/>
      <c r="D43" s="82"/>
      <c r="E43" s="82"/>
      <c r="F43" s="82"/>
      <c r="G43" s="82"/>
      <c r="H43" s="82"/>
      <c r="I43" s="82"/>
      <c r="J43" s="82"/>
      <c r="K43" s="82" t="s">
        <v>59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86"/>
      <c r="AA43" s="86"/>
    </row>
    <row r="44" spans="1:27" ht="26.25">
      <c r="A44" s="87"/>
      <c r="B44" s="592"/>
      <c r="C44" s="592"/>
      <c r="D44" s="592"/>
      <c r="E44" s="592"/>
      <c r="F44" s="592"/>
      <c r="G44" s="592"/>
      <c r="H44" s="592"/>
      <c r="I44" s="592"/>
      <c r="J44" s="592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49</v>
      </c>
      <c r="U44" s="91" t="s">
        <v>50</v>
      </c>
      <c r="V44" s="91"/>
      <c r="W44" s="91"/>
      <c r="X44" s="90"/>
      <c r="Y44" s="90"/>
      <c r="Z44" s="92"/>
      <c r="AA44" s="92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2"/>
      <c r="L45" s="82"/>
      <c r="M45" s="82"/>
      <c r="N45" s="82"/>
      <c r="O45" s="82"/>
      <c r="P45" s="82"/>
      <c r="Q45" s="82"/>
      <c r="R45" s="82"/>
      <c r="S45" s="82"/>
      <c r="T45" s="84"/>
      <c r="U45" s="84"/>
      <c r="V45" s="84"/>
      <c r="W45" s="84"/>
      <c r="X45" s="93"/>
      <c r="Y45" s="93"/>
      <c r="Z45" s="94"/>
      <c r="AA45" s="94"/>
    </row>
    <row r="46" spans="1:27" ht="26.2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2" t="s">
        <v>51</v>
      </c>
      <c r="L46" s="82"/>
      <c r="M46" s="82"/>
      <c r="N46" s="82"/>
      <c r="O46" s="82"/>
      <c r="P46" s="82"/>
      <c r="Q46" s="82"/>
      <c r="R46" s="83"/>
      <c r="S46" s="83"/>
      <c r="T46" s="84"/>
      <c r="U46" s="85"/>
      <c r="V46" s="85"/>
      <c r="W46" s="85"/>
      <c r="X46" s="85"/>
      <c r="Y46" s="86"/>
      <c r="Z46" s="94"/>
      <c r="AA46" s="94"/>
    </row>
    <row r="47" spans="1:27" ht="26.2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7"/>
      <c r="L47" s="87"/>
      <c r="M47" s="87"/>
      <c r="N47" s="87"/>
      <c r="O47" s="87"/>
      <c r="P47" s="87"/>
      <c r="Q47" s="87"/>
      <c r="R47" s="87" t="s">
        <v>48</v>
      </c>
      <c r="S47" s="89"/>
      <c r="T47" s="90" t="s">
        <v>52</v>
      </c>
      <c r="U47" s="91" t="s">
        <v>50</v>
      </c>
      <c r="V47" s="91"/>
      <c r="W47" s="91"/>
      <c r="X47" s="90"/>
      <c r="Y47" s="90"/>
      <c r="Z47" s="94"/>
      <c r="AA47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5:A39"/>
    <mergeCell ref="B44:J44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55" zoomScaleNormal="55" zoomScalePageLayoutView="0" workbookViewId="0" topLeftCell="A15">
      <selection activeCell="P42" sqref="P42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46.5" customHeight="1">
      <c r="A5" s="1" t="s">
        <v>5</v>
      </c>
      <c r="B5" s="1"/>
      <c r="C5" s="559" t="s">
        <v>212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231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62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53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153" t="s">
        <v>102</v>
      </c>
      <c r="C14" s="339">
        <v>164</v>
      </c>
      <c r="D14" s="341">
        <v>0</v>
      </c>
      <c r="E14" s="7">
        <f aca="true" t="shared" si="0" ref="E14:E30">F14+Q14</f>
        <v>86</v>
      </c>
      <c r="F14" s="11">
        <f aca="true" t="shared" si="1" ref="F14:F20">G14+K14+N14+M14</f>
        <v>32</v>
      </c>
      <c r="G14" s="259">
        <f aca="true" t="shared" si="2" ref="G14:G30">H14+I14+J14</f>
        <v>32</v>
      </c>
      <c r="H14" s="349">
        <f>16*2</f>
        <v>32</v>
      </c>
      <c r="I14" s="7"/>
      <c r="J14" s="11"/>
      <c r="K14" s="349"/>
      <c r="L14" s="7"/>
      <c r="M14" s="7"/>
      <c r="N14" s="7"/>
      <c r="O14" s="7"/>
      <c r="P14" s="8"/>
      <c r="Q14" s="346">
        <f aca="true" t="shared" si="3" ref="Q14:Q28">V14+X14+Y14+R14</f>
        <v>54</v>
      </c>
      <c r="R14" s="147">
        <f aca="true" t="shared" si="4" ref="R14:R30">S14+T14+U14</f>
        <v>34</v>
      </c>
      <c r="S14" s="10">
        <v>34</v>
      </c>
      <c r="T14" s="7"/>
      <c r="U14" s="8"/>
      <c r="V14" s="10"/>
      <c r="W14" s="7"/>
      <c r="X14" s="7">
        <v>20</v>
      </c>
      <c r="Y14" s="7"/>
      <c r="Z14" s="7" t="s">
        <v>138</v>
      </c>
      <c r="AA14" s="11"/>
    </row>
    <row r="15" spans="1:27" ht="24.75" customHeight="1">
      <c r="A15" s="409" t="s">
        <v>29</v>
      </c>
      <c r="B15" s="154" t="s">
        <v>103</v>
      </c>
      <c r="C15" s="358">
        <v>144</v>
      </c>
      <c r="D15" s="342">
        <v>0</v>
      </c>
      <c r="E15" s="13">
        <f t="shared" si="0"/>
        <v>66</v>
      </c>
      <c r="F15" s="17">
        <f t="shared" si="1"/>
        <v>32</v>
      </c>
      <c r="G15" s="301">
        <f t="shared" si="2"/>
        <v>32</v>
      </c>
      <c r="H15" s="174">
        <v>32</v>
      </c>
      <c r="I15" s="110"/>
      <c r="J15" s="114"/>
      <c r="K15" s="174"/>
      <c r="L15" s="110"/>
      <c r="M15" s="110"/>
      <c r="N15" s="110"/>
      <c r="O15" s="110"/>
      <c r="P15" s="111"/>
      <c r="Q15" s="347">
        <f t="shared" si="3"/>
        <v>34</v>
      </c>
      <c r="R15" s="148">
        <f t="shared" si="4"/>
        <v>34</v>
      </c>
      <c r="S15" s="113">
        <v>34</v>
      </c>
      <c r="T15" s="110"/>
      <c r="U15" s="111"/>
      <c r="V15" s="113"/>
      <c r="W15" s="110"/>
      <c r="X15" s="110"/>
      <c r="Y15" s="110"/>
      <c r="Z15" s="110"/>
      <c r="AA15" s="114"/>
    </row>
    <row r="16" spans="1:27" ht="24.75" customHeight="1">
      <c r="A16" s="409" t="s">
        <v>30</v>
      </c>
      <c r="B16" s="154" t="s">
        <v>139</v>
      </c>
      <c r="C16" s="358">
        <v>144</v>
      </c>
      <c r="D16" s="342">
        <v>0</v>
      </c>
      <c r="E16" s="13">
        <f t="shared" si="0"/>
        <v>66</v>
      </c>
      <c r="F16" s="17">
        <f t="shared" si="1"/>
        <v>32</v>
      </c>
      <c r="G16" s="301">
        <f t="shared" si="2"/>
        <v>32</v>
      </c>
      <c r="H16" s="174">
        <v>32</v>
      </c>
      <c r="I16" s="110"/>
      <c r="J16" s="114"/>
      <c r="K16" s="174"/>
      <c r="L16" s="110"/>
      <c r="M16" s="110"/>
      <c r="N16" s="110"/>
      <c r="O16" s="110"/>
      <c r="P16" s="111"/>
      <c r="Q16" s="347">
        <f t="shared" si="3"/>
        <v>34</v>
      </c>
      <c r="R16" s="148">
        <f t="shared" si="4"/>
        <v>34</v>
      </c>
      <c r="S16" s="113">
        <v>34</v>
      </c>
      <c r="T16" s="110"/>
      <c r="U16" s="111"/>
      <c r="V16" s="113"/>
      <c r="W16" s="110"/>
      <c r="X16" s="110"/>
      <c r="Y16" s="110"/>
      <c r="Z16" s="110"/>
      <c r="AA16" s="114"/>
    </row>
    <row r="17" spans="1:27" ht="24.75" customHeight="1">
      <c r="A17" s="409" t="s">
        <v>31</v>
      </c>
      <c r="B17" s="154" t="s">
        <v>106</v>
      </c>
      <c r="C17" s="358">
        <v>110</v>
      </c>
      <c r="D17" s="342">
        <v>0</v>
      </c>
      <c r="E17" s="13">
        <f t="shared" si="0"/>
        <v>86</v>
      </c>
      <c r="F17" s="17">
        <f t="shared" si="1"/>
        <v>32</v>
      </c>
      <c r="G17" s="301">
        <f t="shared" si="2"/>
        <v>32</v>
      </c>
      <c r="H17" s="174">
        <v>32</v>
      </c>
      <c r="I17" s="110"/>
      <c r="J17" s="114"/>
      <c r="K17" s="174"/>
      <c r="L17" s="110"/>
      <c r="M17" s="110"/>
      <c r="N17" s="110"/>
      <c r="O17" s="110"/>
      <c r="P17" s="111"/>
      <c r="Q17" s="347">
        <f t="shared" si="3"/>
        <v>54</v>
      </c>
      <c r="R17" s="148">
        <f t="shared" si="4"/>
        <v>34</v>
      </c>
      <c r="S17" s="113">
        <v>34</v>
      </c>
      <c r="T17" s="110"/>
      <c r="U17" s="111"/>
      <c r="V17" s="113"/>
      <c r="W17" s="110"/>
      <c r="X17" s="110">
        <v>20</v>
      </c>
      <c r="Y17" s="110"/>
      <c r="Z17" s="110" t="s">
        <v>138</v>
      </c>
      <c r="AA17" s="114"/>
    </row>
    <row r="18" spans="1:27" ht="24.75" customHeight="1">
      <c r="A18" s="409" t="s">
        <v>32</v>
      </c>
      <c r="B18" s="154" t="s">
        <v>110</v>
      </c>
      <c r="C18" s="358">
        <v>242</v>
      </c>
      <c r="D18" s="342">
        <v>0</v>
      </c>
      <c r="E18" s="13">
        <f t="shared" si="0"/>
        <v>120</v>
      </c>
      <c r="F18" s="17">
        <f t="shared" si="1"/>
        <v>32</v>
      </c>
      <c r="G18" s="301">
        <f t="shared" si="2"/>
        <v>32</v>
      </c>
      <c r="H18" s="174">
        <v>32</v>
      </c>
      <c r="I18" s="110"/>
      <c r="J18" s="114"/>
      <c r="K18" s="174"/>
      <c r="L18" s="110"/>
      <c r="M18" s="110"/>
      <c r="N18" s="110"/>
      <c r="O18" s="110"/>
      <c r="P18" s="111"/>
      <c r="Q18" s="347">
        <f t="shared" si="3"/>
        <v>88</v>
      </c>
      <c r="R18" s="148">
        <f t="shared" si="4"/>
        <v>68</v>
      </c>
      <c r="S18" s="113">
        <v>68</v>
      </c>
      <c r="T18" s="110"/>
      <c r="U18" s="111"/>
      <c r="V18" s="113"/>
      <c r="W18" s="110"/>
      <c r="X18" s="110">
        <v>20</v>
      </c>
      <c r="Y18" s="110"/>
      <c r="Z18" s="110" t="s">
        <v>138</v>
      </c>
      <c r="AA18" s="114"/>
    </row>
    <row r="19" spans="1:27" ht="24.75" customHeight="1">
      <c r="A19" s="409" t="s">
        <v>33</v>
      </c>
      <c r="B19" s="154" t="s">
        <v>111</v>
      </c>
      <c r="C19" s="358">
        <v>216</v>
      </c>
      <c r="D19" s="342">
        <v>0</v>
      </c>
      <c r="E19" s="13">
        <f t="shared" si="0"/>
        <v>100</v>
      </c>
      <c r="F19" s="17">
        <f t="shared" si="1"/>
        <v>48</v>
      </c>
      <c r="G19" s="301">
        <f t="shared" si="2"/>
        <v>48</v>
      </c>
      <c r="H19" s="174">
        <f>3*16</f>
        <v>48</v>
      </c>
      <c r="I19" s="110"/>
      <c r="J19" s="114"/>
      <c r="K19" s="174"/>
      <c r="L19" s="110"/>
      <c r="M19" s="110"/>
      <c r="N19" s="110"/>
      <c r="O19" s="110"/>
      <c r="P19" s="111"/>
      <c r="Q19" s="347">
        <f t="shared" si="3"/>
        <v>52</v>
      </c>
      <c r="R19" s="148">
        <f t="shared" si="4"/>
        <v>52</v>
      </c>
      <c r="S19" s="113">
        <v>52</v>
      </c>
      <c r="T19" s="110"/>
      <c r="U19" s="111"/>
      <c r="V19" s="113"/>
      <c r="W19" s="110"/>
      <c r="X19" s="110"/>
      <c r="Y19" s="110"/>
      <c r="Z19" s="110"/>
      <c r="AA19" s="114"/>
    </row>
    <row r="20" spans="1:27" ht="24.75" customHeight="1">
      <c r="A20" s="326" t="s">
        <v>34</v>
      </c>
      <c r="B20" s="154" t="s">
        <v>140</v>
      </c>
      <c r="C20" s="358">
        <v>66</v>
      </c>
      <c r="D20" s="342">
        <v>0</v>
      </c>
      <c r="E20" s="13">
        <f t="shared" si="0"/>
        <v>66</v>
      </c>
      <c r="F20" s="17">
        <f t="shared" si="1"/>
        <v>32</v>
      </c>
      <c r="G20" s="301">
        <f t="shared" si="2"/>
        <v>32</v>
      </c>
      <c r="H20" s="174">
        <v>32</v>
      </c>
      <c r="I20" s="110"/>
      <c r="J20" s="114"/>
      <c r="K20" s="174"/>
      <c r="L20" s="110"/>
      <c r="M20" s="110"/>
      <c r="N20" s="110"/>
      <c r="O20" s="110"/>
      <c r="P20" s="111"/>
      <c r="Q20" s="347">
        <f t="shared" si="3"/>
        <v>34</v>
      </c>
      <c r="R20" s="148">
        <f t="shared" si="4"/>
        <v>34</v>
      </c>
      <c r="S20" s="113">
        <v>34</v>
      </c>
      <c r="T20" s="110"/>
      <c r="U20" s="111"/>
      <c r="V20" s="113"/>
      <c r="W20" s="110"/>
      <c r="X20" s="110"/>
      <c r="Y20" s="110"/>
      <c r="Z20" s="110"/>
      <c r="AA20" s="114"/>
    </row>
    <row r="21" spans="1:27" ht="24.75" customHeight="1" thickBot="1">
      <c r="A21" s="420" t="s">
        <v>35</v>
      </c>
      <c r="B21" s="319" t="s">
        <v>115</v>
      </c>
      <c r="C21" s="418">
        <v>220</v>
      </c>
      <c r="D21" s="410">
        <v>0</v>
      </c>
      <c r="E21" s="95">
        <f t="shared" si="0"/>
        <v>98</v>
      </c>
      <c r="F21" s="99">
        <f>G21+K21+N21+M21</f>
        <v>48</v>
      </c>
      <c r="G21" s="302">
        <f t="shared" si="2"/>
        <v>48</v>
      </c>
      <c r="H21" s="419">
        <v>48</v>
      </c>
      <c r="I21" s="95"/>
      <c r="J21" s="99"/>
      <c r="K21" s="419"/>
      <c r="L21" s="95"/>
      <c r="M21" s="95"/>
      <c r="N21" s="95"/>
      <c r="O21" s="95"/>
      <c r="P21" s="96"/>
      <c r="Q21" s="411">
        <f t="shared" si="3"/>
        <v>50</v>
      </c>
      <c r="R21" s="149">
        <f t="shared" si="4"/>
        <v>50</v>
      </c>
      <c r="S21" s="98">
        <v>50</v>
      </c>
      <c r="T21" s="95"/>
      <c r="U21" s="96"/>
      <c r="V21" s="98"/>
      <c r="W21" s="95"/>
      <c r="X21" s="95"/>
      <c r="Y21" s="95"/>
      <c r="Z21" s="95"/>
      <c r="AA21" s="99"/>
    </row>
    <row r="22" spans="1:27" ht="24.75" customHeight="1">
      <c r="A22" s="409" t="s">
        <v>36</v>
      </c>
      <c r="B22" s="414" t="s">
        <v>232</v>
      </c>
      <c r="C22" s="358">
        <v>210</v>
      </c>
      <c r="D22" s="415">
        <f>E22/30</f>
        <v>7</v>
      </c>
      <c r="E22" s="110">
        <f t="shared" si="0"/>
        <v>210</v>
      </c>
      <c r="F22" s="114">
        <f>G22+K22+N22+M22</f>
        <v>130</v>
      </c>
      <c r="G22" s="261">
        <f>H22+I22+J22</f>
        <v>64</v>
      </c>
      <c r="H22" s="174">
        <v>40</v>
      </c>
      <c r="I22" s="110">
        <v>24</v>
      </c>
      <c r="J22" s="114"/>
      <c r="K22" s="174">
        <v>66</v>
      </c>
      <c r="L22" s="110"/>
      <c r="M22" s="110"/>
      <c r="N22" s="110"/>
      <c r="O22" s="110"/>
      <c r="P22" s="111" t="s">
        <v>88</v>
      </c>
      <c r="Q22" s="416">
        <f t="shared" si="3"/>
        <v>80</v>
      </c>
      <c r="R22" s="417">
        <f t="shared" si="4"/>
        <v>34</v>
      </c>
      <c r="S22" s="113">
        <v>18</v>
      </c>
      <c r="T22" s="110">
        <v>16</v>
      </c>
      <c r="U22" s="111"/>
      <c r="V22" s="113">
        <v>46</v>
      </c>
      <c r="W22" s="110"/>
      <c r="X22" s="110"/>
      <c r="Y22" s="110"/>
      <c r="Z22" s="110"/>
      <c r="AA22" s="114" t="s">
        <v>67</v>
      </c>
    </row>
    <row r="23" spans="1:27" ht="24.75" customHeight="1">
      <c r="A23" s="326" t="s">
        <v>37</v>
      </c>
      <c r="B23" s="323" t="s">
        <v>86</v>
      </c>
      <c r="C23" s="340">
        <v>60</v>
      </c>
      <c r="D23" s="342">
        <f aca="true" t="shared" si="5" ref="D23:D30">E23/30</f>
        <v>2</v>
      </c>
      <c r="E23" s="13">
        <f t="shared" si="0"/>
        <v>60</v>
      </c>
      <c r="F23" s="17">
        <f aca="true" t="shared" si="6" ref="F23:F30">G23+K23+N23+M23</f>
        <v>0</v>
      </c>
      <c r="G23" s="301">
        <f t="shared" si="2"/>
        <v>0</v>
      </c>
      <c r="H23" s="350"/>
      <c r="I23" s="13"/>
      <c r="J23" s="17"/>
      <c r="K23" s="350"/>
      <c r="L23" s="13"/>
      <c r="M23" s="13"/>
      <c r="N23" s="13"/>
      <c r="O23" s="13"/>
      <c r="P23" s="14"/>
      <c r="Q23" s="347">
        <f t="shared" si="3"/>
        <v>60</v>
      </c>
      <c r="R23" s="148">
        <f t="shared" si="4"/>
        <v>34</v>
      </c>
      <c r="S23" s="16">
        <v>18</v>
      </c>
      <c r="T23" s="13"/>
      <c r="U23" s="14">
        <v>16</v>
      </c>
      <c r="V23" s="16">
        <v>26</v>
      </c>
      <c r="W23" s="13"/>
      <c r="X23" s="13"/>
      <c r="Y23" s="13"/>
      <c r="Z23" s="13"/>
      <c r="AA23" s="17" t="s">
        <v>67</v>
      </c>
    </row>
    <row r="24" spans="1:27" ht="24.75" customHeight="1">
      <c r="A24" s="326" t="s">
        <v>38</v>
      </c>
      <c r="B24" s="323" t="s">
        <v>225</v>
      </c>
      <c r="C24" s="340">
        <v>180</v>
      </c>
      <c r="D24" s="342">
        <f t="shared" si="5"/>
        <v>6</v>
      </c>
      <c r="E24" s="13">
        <f t="shared" si="0"/>
        <v>180</v>
      </c>
      <c r="F24" s="17">
        <f t="shared" si="6"/>
        <v>105</v>
      </c>
      <c r="G24" s="301">
        <f t="shared" si="2"/>
        <v>80</v>
      </c>
      <c r="H24" s="350">
        <v>48</v>
      </c>
      <c r="I24" s="13"/>
      <c r="J24" s="17">
        <v>32</v>
      </c>
      <c r="K24" s="350">
        <v>25</v>
      </c>
      <c r="L24" s="13"/>
      <c r="M24" s="13"/>
      <c r="N24" s="13"/>
      <c r="O24" s="13"/>
      <c r="P24" s="14" t="s">
        <v>67</v>
      </c>
      <c r="Q24" s="347">
        <f t="shared" si="3"/>
        <v>75</v>
      </c>
      <c r="R24" s="148">
        <f t="shared" si="4"/>
        <v>50</v>
      </c>
      <c r="S24" s="16">
        <f>82-48</f>
        <v>34</v>
      </c>
      <c r="T24" s="13"/>
      <c r="U24" s="14">
        <f>48-32</f>
        <v>16</v>
      </c>
      <c r="V24" s="16">
        <v>25</v>
      </c>
      <c r="W24" s="13"/>
      <c r="X24" s="13"/>
      <c r="Y24" s="13"/>
      <c r="Z24" s="13" t="s">
        <v>70</v>
      </c>
      <c r="AA24" s="17"/>
    </row>
    <row r="25" spans="1:27" ht="24.75" customHeight="1">
      <c r="A25" s="326" t="s">
        <v>39</v>
      </c>
      <c r="B25" s="323" t="s">
        <v>233</v>
      </c>
      <c r="C25" s="340">
        <v>120</v>
      </c>
      <c r="D25" s="342">
        <f t="shared" si="5"/>
        <v>4</v>
      </c>
      <c r="E25" s="13">
        <f t="shared" si="0"/>
        <v>120</v>
      </c>
      <c r="F25" s="17">
        <f t="shared" si="6"/>
        <v>120</v>
      </c>
      <c r="G25" s="301">
        <f t="shared" si="2"/>
        <v>48</v>
      </c>
      <c r="H25" s="350">
        <v>28</v>
      </c>
      <c r="I25" s="13"/>
      <c r="J25" s="17">
        <v>20</v>
      </c>
      <c r="K25" s="350">
        <v>72</v>
      </c>
      <c r="L25" s="13"/>
      <c r="M25" s="13"/>
      <c r="N25" s="13"/>
      <c r="O25" s="13" t="s">
        <v>69</v>
      </c>
      <c r="P25" s="14"/>
      <c r="Q25" s="347">
        <f t="shared" si="3"/>
        <v>0</v>
      </c>
      <c r="R25" s="148">
        <f t="shared" si="4"/>
        <v>0</v>
      </c>
      <c r="S25" s="16"/>
      <c r="T25" s="13"/>
      <c r="U25" s="14"/>
      <c r="V25" s="16"/>
      <c r="W25" s="13"/>
      <c r="X25" s="13"/>
      <c r="Y25" s="13"/>
      <c r="Z25" s="13"/>
      <c r="AA25" s="17"/>
    </row>
    <row r="26" spans="1:27" ht="24.75" customHeight="1">
      <c r="A26" s="326" t="s">
        <v>40</v>
      </c>
      <c r="B26" s="323" t="s">
        <v>235</v>
      </c>
      <c r="C26" s="340">
        <v>120</v>
      </c>
      <c r="D26" s="342">
        <f t="shared" si="5"/>
        <v>4</v>
      </c>
      <c r="E26" s="13">
        <f t="shared" si="0"/>
        <v>120</v>
      </c>
      <c r="F26" s="17">
        <f t="shared" si="6"/>
        <v>120</v>
      </c>
      <c r="G26" s="301">
        <f t="shared" si="2"/>
        <v>32</v>
      </c>
      <c r="H26" s="350">
        <v>16</v>
      </c>
      <c r="I26" s="13"/>
      <c r="J26" s="17">
        <v>16</v>
      </c>
      <c r="K26" s="350">
        <v>88</v>
      </c>
      <c r="L26" s="13"/>
      <c r="M26" s="13"/>
      <c r="N26" s="13"/>
      <c r="O26" s="13"/>
      <c r="P26" s="14" t="s">
        <v>67</v>
      </c>
      <c r="Q26" s="347">
        <f t="shared" si="3"/>
        <v>0</v>
      </c>
      <c r="R26" s="148">
        <f t="shared" si="4"/>
        <v>0</v>
      </c>
      <c r="S26" s="16"/>
      <c r="T26" s="13"/>
      <c r="U26" s="14"/>
      <c r="V26" s="16"/>
      <c r="W26" s="13"/>
      <c r="X26" s="13"/>
      <c r="Y26" s="13"/>
      <c r="Z26" s="13"/>
      <c r="AA26" s="17"/>
    </row>
    <row r="27" spans="1:27" ht="24.75" customHeight="1">
      <c r="A27" s="326" t="s">
        <v>41</v>
      </c>
      <c r="B27" s="324" t="s">
        <v>234</v>
      </c>
      <c r="C27" s="340">
        <v>90</v>
      </c>
      <c r="D27" s="342">
        <f t="shared" si="5"/>
        <v>3</v>
      </c>
      <c r="E27" s="13">
        <f t="shared" si="0"/>
        <v>90</v>
      </c>
      <c r="F27" s="17">
        <f t="shared" si="6"/>
        <v>0</v>
      </c>
      <c r="G27" s="301">
        <f t="shared" si="2"/>
        <v>0</v>
      </c>
      <c r="H27" s="354"/>
      <c r="I27" s="13"/>
      <c r="J27" s="17"/>
      <c r="K27" s="350"/>
      <c r="L27" s="13"/>
      <c r="M27" s="13"/>
      <c r="N27" s="13"/>
      <c r="O27" s="13"/>
      <c r="P27" s="14"/>
      <c r="Q27" s="347">
        <f t="shared" si="3"/>
        <v>90</v>
      </c>
      <c r="R27" s="148">
        <f t="shared" si="4"/>
        <v>34</v>
      </c>
      <c r="S27" s="167">
        <v>24</v>
      </c>
      <c r="T27" s="13"/>
      <c r="U27" s="14">
        <v>10</v>
      </c>
      <c r="V27" s="16">
        <v>56</v>
      </c>
      <c r="W27" s="13"/>
      <c r="X27" s="13"/>
      <c r="Y27" s="13"/>
      <c r="Z27" s="13" t="s">
        <v>70</v>
      </c>
      <c r="AA27" s="17"/>
    </row>
    <row r="28" spans="1:27" ht="24.75" customHeight="1" thickBot="1">
      <c r="A28" s="326" t="s">
        <v>55</v>
      </c>
      <c r="B28" s="324" t="s">
        <v>142</v>
      </c>
      <c r="C28" s="340">
        <v>60</v>
      </c>
      <c r="D28" s="410">
        <f t="shared" si="5"/>
        <v>2</v>
      </c>
      <c r="E28" s="95">
        <f t="shared" si="0"/>
        <v>60</v>
      </c>
      <c r="F28" s="99">
        <f t="shared" si="6"/>
        <v>0</v>
      </c>
      <c r="G28" s="301">
        <f t="shared" si="2"/>
        <v>0</v>
      </c>
      <c r="H28" s="354"/>
      <c r="I28" s="13"/>
      <c r="J28" s="17"/>
      <c r="K28" s="350"/>
      <c r="L28" s="13"/>
      <c r="M28" s="13"/>
      <c r="N28" s="13"/>
      <c r="O28" s="13"/>
      <c r="P28" s="14"/>
      <c r="Q28" s="411">
        <f t="shared" si="3"/>
        <v>60</v>
      </c>
      <c r="R28" s="149">
        <f t="shared" si="4"/>
        <v>34</v>
      </c>
      <c r="S28" s="290">
        <v>18</v>
      </c>
      <c r="T28" s="95"/>
      <c r="U28" s="96">
        <v>16</v>
      </c>
      <c r="V28" s="98">
        <v>26</v>
      </c>
      <c r="W28" s="95"/>
      <c r="X28" s="95"/>
      <c r="Y28" s="95"/>
      <c r="Z28" s="95"/>
      <c r="AA28" s="99" t="s">
        <v>67</v>
      </c>
    </row>
    <row r="29" spans="1:27" ht="24.75" customHeight="1" thickBot="1">
      <c r="A29" s="215" t="s">
        <v>56</v>
      </c>
      <c r="B29" s="216" t="s">
        <v>137</v>
      </c>
      <c r="C29" s="217">
        <v>120</v>
      </c>
      <c r="D29" s="218">
        <f t="shared" si="5"/>
        <v>4</v>
      </c>
      <c r="E29" s="219">
        <f t="shared" si="0"/>
        <v>120</v>
      </c>
      <c r="F29" s="227">
        <f t="shared" si="6"/>
        <v>0</v>
      </c>
      <c r="G29" s="284">
        <f t="shared" si="2"/>
        <v>0</v>
      </c>
      <c r="H29" s="222"/>
      <c r="I29" s="219"/>
      <c r="J29" s="227"/>
      <c r="K29" s="377"/>
      <c r="L29" s="219"/>
      <c r="M29" s="219"/>
      <c r="N29" s="219"/>
      <c r="O29" s="219"/>
      <c r="P29" s="220"/>
      <c r="Q29" s="378">
        <f>V29+W29+X29+Y29+R29</f>
        <v>120</v>
      </c>
      <c r="R29" s="379">
        <f t="shared" si="4"/>
        <v>68</v>
      </c>
      <c r="S29" s="222">
        <v>38</v>
      </c>
      <c r="T29" s="224"/>
      <c r="U29" s="225">
        <v>30</v>
      </c>
      <c r="V29" s="226">
        <v>52</v>
      </c>
      <c r="W29" s="219"/>
      <c r="X29" s="219"/>
      <c r="Y29" s="219"/>
      <c r="Z29" s="219"/>
      <c r="AA29" s="227" t="s">
        <v>67</v>
      </c>
    </row>
    <row r="30" spans="1:27" s="239" customFormat="1" ht="24.75" customHeight="1" thickBot="1">
      <c r="A30" s="399" t="s">
        <v>57</v>
      </c>
      <c r="B30" s="400" t="s">
        <v>100</v>
      </c>
      <c r="C30" s="401">
        <v>315</v>
      </c>
      <c r="D30" s="402">
        <f t="shared" si="5"/>
        <v>4.5</v>
      </c>
      <c r="E30" s="403">
        <f t="shared" si="0"/>
        <v>135</v>
      </c>
      <c r="F30" s="404">
        <f t="shared" si="6"/>
        <v>0</v>
      </c>
      <c r="G30" s="413">
        <f t="shared" si="2"/>
        <v>0</v>
      </c>
      <c r="H30" s="402"/>
      <c r="I30" s="403"/>
      <c r="J30" s="394"/>
      <c r="K30" s="402"/>
      <c r="L30" s="403"/>
      <c r="M30" s="403"/>
      <c r="N30" s="403"/>
      <c r="O30" s="403"/>
      <c r="P30" s="404"/>
      <c r="Q30" s="406">
        <f>V30+X30+Y30+R30</f>
        <v>135</v>
      </c>
      <c r="R30" s="407">
        <f t="shared" si="4"/>
        <v>90</v>
      </c>
      <c r="S30" s="408"/>
      <c r="T30" s="403"/>
      <c r="U30" s="404">
        <f>3*30</f>
        <v>90</v>
      </c>
      <c r="V30" s="408">
        <f>3*15</f>
        <v>45</v>
      </c>
      <c r="W30" s="403"/>
      <c r="X30" s="403"/>
      <c r="Y30" s="403"/>
      <c r="Z30" s="403"/>
      <c r="AA30" s="394" t="s">
        <v>67</v>
      </c>
    </row>
    <row r="31" spans="1:27" ht="24.75" customHeight="1" thickBot="1">
      <c r="A31" s="240"/>
      <c r="B31" s="241" t="s">
        <v>42</v>
      </c>
      <c r="C31" s="39">
        <f>SUM(C14:C30)</f>
        <v>2581</v>
      </c>
      <c r="D31" s="39">
        <f aca="true" t="shared" si="7" ref="D31:N31">SUM(D14:D29)</f>
        <v>32</v>
      </c>
      <c r="E31" s="39">
        <f t="shared" si="7"/>
        <v>1648</v>
      </c>
      <c r="F31" s="39">
        <f t="shared" si="7"/>
        <v>763</v>
      </c>
      <c r="G31" s="39">
        <f t="shared" si="7"/>
        <v>512</v>
      </c>
      <c r="H31" s="39">
        <f t="shared" si="7"/>
        <v>420</v>
      </c>
      <c r="I31" s="39">
        <f t="shared" si="7"/>
        <v>24</v>
      </c>
      <c r="J31" s="39">
        <f t="shared" si="7"/>
        <v>68</v>
      </c>
      <c r="K31" s="39">
        <f t="shared" si="7"/>
        <v>251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39">
        <v>1</v>
      </c>
      <c r="P31" s="39">
        <v>3</v>
      </c>
      <c r="Q31" s="39">
        <f>SUM(Q14:Q30)</f>
        <v>1020</v>
      </c>
      <c r="R31" s="412">
        <f>SUM(R14:R29)</f>
        <v>594</v>
      </c>
      <c r="S31" s="412">
        <f>SUM(S14:S29)</f>
        <v>490</v>
      </c>
      <c r="T31" s="412">
        <f>SUM(T14:T29)</f>
        <v>16</v>
      </c>
      <c r="U31" s="412">
        <f>SUM(U14:U29)</f>
        <v>88</v>
      </c>
      <c r="V31" s="412">
        <f>SUM(V14:V29)</f>
        <v>231</v>
      </c>
      <c r="W31" s="412">
        <v>0</v>
      </c>
      <c r="X31" s="412">
        <f>SUM(X14:X29)</f>
        <v>60</v>
      </c>
      <c r="Y31" s="412">
        <f>SUM(Y14:Y29)</f>
        <v>0</v>
      </c>
      <c r="Z31" s="412">
        <v>5</v>
      </c>
      <c r="AA31" s="412">
        <v>4</v>
      </c>
    </row>
    <row r="32" spans="1:27" ht="24.75" customHeight="1" thickBot="1">
      <c r="A32" s="589"/>
      <c r="B32" s="384" t="s">
        <v>43</v>
      </c>
      <c r="C32" s="46"/>
      <c r="D32" s="387"/>
      <c r="E32" s="47"/>
      <c r="F32" s="388"/>
      <c r="G32" s="389">
        <f>G31/J10</f>
        <v>32</v>
      </c>
      <c r="H32" s="46"/>
      <c r="I32" s="47"/>
      <c r="J32" s="47"/>
      <c r="K32" s="47"/>
      <c r="L32" s="47"/>
      <c r="M32" s="47"/>
      <c r="N32" s="47"/>
      <c r="O32" s="48"/>
      <c r="P32" s="49"/>
      <c r="Q32" s="388"/>
      <c r="R32" s="390">
        <f>SUM(R14:R29)/U10</f>
        <v>34.94117647058823</v>
      </c>
      <c r="S32" s="391"/>
      <c r="T32" s="47"/>
      <c r="U32" s="47"/>
      <c r="V32" s="47"/>
      <c r="W32" s="47"/>
      <c r="X32" s="47"/>
      <c r="Y32" s="47"/>
      <c r="Z32" s="48"/>
      <c r="AA32" s="49"/>
    </row>
    <row r="33" spans="1:27" ht="24.75" customHeight="1" thickBot="1">
      <c r="A33" s="590"/>
      <c r="B33" s="385" t="s">
        <v>44</v>
      </c>
      <c r="C33" s="57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1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5</v>
      </c>
      <c r="AA33" s="144"/>
    </row>
    <row r="34" spans="1:27" ht="24.75" customHeight="1" thickBot="1">
      <c r="A34" s="590"/>
      <c r="B34" s="385" t="s">
        <v>45</v>
      </c>
      <c r="C34" s="57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5</v>
      </c>
    </row>
    <row r="35" spans="1:27" ht="24.75" customHeight="1" thickBot="1">
      <c r="A35" s="590"/>
      <c r="B35" s="386" t="s">
        <v>46</v>
      </c>
      <c r="C35" s="68"/>
      <c r="D35" s="70"/>
      <c r="E35" s="69"/>
      <c r="F35" s="71"/>
      <c r="G35" s="70"/>
      <c r="H35" s="68"/>
      <c r="I35" s="69"/>
      <c r="J35" s="69"/>
      <c r="K35" s="70"/>
      <c r="L35" s="39">
        <v>0</v>
      </c>
      <c r="M35" s="71"/>
      <c r="N35" s="72"/>
      <c r="O35" s="72"/>
      <c r="P35" s="73"/>
      <c r="Q35" s="392"/>
      <c r="R35" s="72"/>
      <c r="S35" s="72"/>
      <c r="T35" s="72"/>
      <c r="U35" s="72"/>
      <c r="V35" s="393"/>
      <c r="W35" s="39">
        <v>0</v>
      </c>
      <c r="X35" s="71"/>
      <c r="Y35" s="69"/>
      <c r="Z35" s="72"/>
      <c r="AA35" s="73"/>
    </row>
    <row r="36" spans="1:27" ht="24.75" customHeight="1" thickBot="1">
      <c r="A36" s="591"/>
      <c r="B36" s="137" t="s">
        <v>47</v>
      </c>
      <c r="C36" s="77">
        <f>SUM(C32:C35)</f>
        <v>0</v>
      </c>
      <c r="D36" s="77">
        <f aca="true" t="shared" si="8" ref="D36:AA36">SUM(D32:D35)</f>
        <v>0</v>
      </c>
      <c r="E36" s="77">
        <f t="shared" si="8"/>
        <v>0</v>
      </c>
      <c r="F36" s="79">
        <f t="shared" si="8"/>
        <v>0</v>
      </c>
      <c r="G36" s="390">
        <f>SUM(G32:G35)</f>
        <v>32</v>
      </c>
      <c r="H36" s="38">
        <f t="shared" si="8"/>
        <v>0</v>
      </c>
      <c r="I36" s="31">
        <f t="shared" si="8"/>
        <v>0</v>
      </c>
      <c r="J36" s="31">
        <f t="shared" si="8"/>
        <v>0</v>
      </c>
      <c r="K36" s="32">
        <f t="shared" si="8"/>
        <v>0</v>
      </c>
      <c r="L36" s="39">
        <f t="shared" si="8"/>
        <v>0</v>
      </c>
      <c r="M36" s="38">
        <f t="shared" si="8"/>
        <v>0</v>
      </c>
      <c r="N36" s="31">
        <f t="shared" si="8"/>
        <v>0</v>
      </c>
      <c r="O36" s="31">
        <f t="shared" si="8"/>
        <v>1</v>
      </c>
      <c r="P36" s="31">
        <f t="shared" si="8"/>
        <v>3</v>
      </c>
      <c r="Q36" s="79">
        <f t="shared" si="8"/>
        <v>0</v>
      </c>
      <c r="R36" s="390">
        <f t="shared" si="8"/>
        <v>34.94117647058823</v>
      </c>
      <c r="S36" s="243">
        <f t="shared" si="8"/>
        <v>0</v>
      </c>
      <c r="T36" s="77">
        <f t="shared" si="8"/>
        <v>0</v>
      </c>
      <c r="U36" s="77">
        <f t="shared" si="8"/>
        <v>0</v>
      </c>
      <c r="V36" s="79">
        <f t="shared" si="8"/>
        <v>0</v>
      </c>
      <c r="W36" s="39">
        <f t="shared" si="8"/>
        <v>0</v>
      </c>
      <c r="X36" s="243">
        <f t="shared" si="8"/>
        <v>0</v>
      </c>
      <c r="Y36" s="77">
        <f t="shared" si="8"/>
        <v>0</v>
      </c>
      <c r="Z36" s="77">
        <f>SUM(Z32:Z35)</f>
        <v>5</v>
      </c>
      <c r="AA36" s="146">
        <f t="shared" si="8"/>
        <v>5</v>
      </c>
    </row>
    <row r="37" spans="1:27" ht="24.75" customHeight="1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5"/>
  <sheetViews>
    <sheetView zoomScale="55" zoomScaleNormal="55" zoomScalePageLayoutView="0" workbookViewId="0" topLeftCell="A8">
      <selection activeCell="A22" sqref="A22:IV22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276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286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62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53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335" t="s">
        <v>28</v>
      </c>
      <c r="B14" s="153" t="s">
        <v>102</v>
      </c>
      <c r="C14" s="339">
        <v>164</v>
      </c>
      <c r="D14" s="341">
        <v>0</v>
      </c>
      <c r="E14" s="7">
        <f aca="true" t="shared" si="0" ref="E14:E31">F14+Q14</f>
        <v>86</v>
      </c>
      <c r="F14" s="11">
        <f aca="true" t="shared" si="1" ref="F14:F21">G14+K14+N14+M14</f>
        <v>32</v>
      </c>
      <c r="G14" s="259">
        <f aca="true" t="shared" si="2" ref="G14:G31">H14+I14+J14</f>
        <v>32</v>
      </c>
      <c r="H14" s="349">
        <v>32</v>
      </c>
      <c r="I14" s="7"/>
      <c r="J14" s="11"/>
      <c r="K14" s="349"/>
      <c r="L14" s="7"/>
      <c r="M14" s="7"/>
      <c r="N14" s="7"/>
      <c r="O14" s="7"/>
      <c r="P14" s="8"/>
      <c r="Q14" s="346">
        <f aca="true" t="shared" si="3" ref="Q14:Q29">V14+X14+Y14+R14</f>
        <v>54</v>
      </c>
      <c r="R14" s="147">
        <f aca="true" t="shared" si="4" ref="R14:R31">S14+T14+U14</f>
        <v>34</v>
      </c>
      <c r="S14" s="10">
        <v>34</v>
      </c>
      <c r="T14" s="7"/>
      <c r="U14" s="8"/>
      <c r="V14" s="10"/>
      <c r="W14" s="7"/>
      <c r="X14" s="7">
        <v>20</v>
      </c>
      <c r="Y14" s="7"/>
      <c r="Z14" s="7" t="s">
        <v>138</v>
      </c>
      <c r="AA14" s="11"/>
    </row>
    <row r="15" spans="1:27" ht="18" customHeight="1">
      <c r="A15" s="409" t="s">
        <v>29</v>
      </c>
      <c r="B15" s="154" t="s">
        <v>103</v>
      </c>
      <c r="C15" s="358">
        <v>144</v>
      </c>
      <c r="D15" s="342">
        <v>0</v>
      </c>
      <c r="E15" s="13">
        <f t="shared" si="0"/>
        <v>66</v>
      </c>
      <c r="F15" s="17">
        <f t="shared" si="1"/>
        <v>32</v>
      </c>
      <c r="G15" s="301">
        <f t="shared" si="2"/>
        <v>32</v>
      </c>
      <c r="H15" s="174">
        <v>32</v>
      </c>
      <c r="I15" s="110"/>
      <c r="J15" s="114"/>
      <c r="K15" s="174"/>
      <c r="L15" s="110"/>
      <c r="M15" s="110"/>
      <c r="N15" s="110"/>
      <c r="O15" s="110"/>
      <c r="P15" s="111"/>
      <c r="Q15" s="347">
        <f t="shared" si="3"/>
        <v>34</v>
      </c>
      <c r="R15" s="148">
        <f t="shared" si="4"/>
        <v>34</v>
      </c>
      <c r="S15" s="113">
        <v>34</v>
      </c>
      <c r="T15" s="110"/>
      <c r="U15" s="111"/>
      <c r="V15" s="113"/>
      <c r="W15" s="110"/>
      <c r="X15" s="110"/>
      <c r="Y15" s="110"/>
      <c r="Z15" s="110"/>
      <c r="AA15" s="114"/>
    </row>
    <row r="16" spans="1:27" ht="20.25">
      <c r="A16" s="409" t="s">
        <v>30</v>
      </c>
      <c r="B16" s="154" t="s">
        <v>105</v>
      </c>
      <c r="C16" s="358">
        <v>144</v>
      </c>
      <c r="D16" s="342">
        <v>0</v>
      </c>
      <c r="E16" s="13">
        <f t="shared" si="0"/>
        <v>66</v>
      </c>
      <c r="F16" s="17">
        <f t="shared" si="1"/>
        <v>32</v>
      </c>
      <c r="G16" s="301">
        <f t="shared" si="2"/>
        <v>32</v>
      </c>
      <c r="H16" s="174">
        <v>32</v>
      </c>
      <c r="I16" s="110"/>
      <c r="J16" s="114"/>
      <c r="K16" s="174"/>
      <c r="L16" s="110"/>
      <c r="M16" s="110"/>
      <c r="N16" s="110"/>
      <c r="O16" s="110"/>
      <c r="P16" s="111"/>
      <c r="Q16" s="347">
        <f t="shared" si="3"/>
        <v>34</v>
      </c>
      <c r="R16" s="148">
        <f t="shared" si="4"/>
        <v>34</v>
      </c>
      <c r="S16" s="113">
        <v>34</v>
      </c>
      <c r="T16" s="110"/>
      <c r="U16" s="111"/>
      <c r="V16" s="113"/>
      <c r="W16" s="110"/>
      <c r="X16" s="110"/>
      <c r="Y16" s="110"/>
      <c r="Z16" s="110"/>
      <c r="AA16" s="114"/>
    </row>
    <row r="17" spans="1:27" ht="20.25">
      <c r="A17" s="409" t="s">
        <v>31</v>
      </c>
      <c r="B17" s="154" t="s">
        <v>106</v>
      </c>
      <c r="C17" s="358">
        <v>130</v>
      </c>
      <c r="D17" s="342">
        <v>0</v>
      </c>
      <c r="E17" s="13">
        <f t="shared" si="0"/>
        <v>86</v>
      </c>
      <c r="F17" s="17">
        <f t="shared" si="1"/>
        <v>32</v>
      </c>
      <c r="G17" s="301">
        <f t="shared" si="2"/>
        <v>32</v>
      </c>
      <c r="H17" s="174">
        <v>32</v>
      </c>
      <c r="I17" s="110"/>
      <c r="J17" s="114"/>
      <c r="K17" s="174"/>
      <c r="L17" s="110"/>
      <c r="M17" s="110"/>
      <c r="N17" s="110"/>
      <c r="O17" s="110"/>
      <c r="P17" s="111"/>
      <c r="Q17" s="347">
        <f t="shared" si="3"/>
        <v>54</v>
      </c>
      <c r="R17" s="148">
        <f t="shared" si="4"/>
        <v>34</v>
      </c>
      <c r="S17" s="113">
        <v>34</v>
      </c>
      <c r="T17" s="110"/>
      <c r="U17" s="111"/>
      <c r="V17" s="113"/>
      <c r="W17" s="110"/>
      <c r="X17" s="110">
        <v>20</v>
      </c>
      <c r="Y17" s="110"/>
      <c r="Z17" s="110" t="s">
        <v>138</v>
      </c>
      <c r="AA17" s="114"/>
    </row>
    <row r="18" spans="1:27" ht="20.25">
      <c r="A18" s="409" t="s">
        <v>32</v>
      </c>
      <c r="B18" s="154" t="s">
        <v>110</v>
      </c>
      <c r="C18" s="358">
        <v>242</v>
      </c>
      <c r="D18" s="342">
        <v>0</v>
      </c>
      <c r="E18" s="13">
        <f t="shared" si="0"/>
        <v>120</v>
      </c>
      <c r="F18" s="17">
        <f t="shared" si="1"/>
        <v>32</v>
      </c>
      <c r="G18" s="301">
        <f t="shared" si="2"/>
        <v>32</v>
      </c>
      <c r="H18" s="174">
        <v>32</v>
      </c>
      <c r="I18" s="110"/>
      <c r="J18" s="114"/>
      <c r="K18" s="174"/>
      <c r="L18" s="110"/>
      <c r="M18" s="110"/>
      <c r="N18" s="110"/>
      <c r="O18" s="110"/>
      <c r="P18" s="111"/>
      <c r="Q18" s="347">
        <f t="shared" si="3"/>
        <v>88</v>
      </c>
      <c r="R18" s="148">
        <f t="shared" si="4"/>
        <v>68</v>
      </c>
      <c r="S18" s="113">
        <v>68</v>
      </c>
      <c r="T18" s="110"/>
      <c r="U18" s="111"/>
      <c r="V18" s="113"/>
      <c r="W18" s="110"/>
      <c r="X18" s="110">
        <v>20</v>
      </c>
      <c r="Y18" s="110"/>
      <c r="Z18" s="110" t="s">
        <v>138</v>
      </c>
      <c r="AA18" s="114"/>
    </row>
    <row r="19" spans="1:27" ht="20.25">
      <c r="A19" s="409" t="s">
        <v>33</v>
      </c>
      <c r="B19" s="154" t="s">
        <v>111</v>
      </c>
      <c r="C19" s="358">
        <v>216</v>
      </c>
      <c r="D19" s="342">
        <v>0</v>
      </c>
      <c r="E19" s="13">
        <f t="shared" si="0"/>
        <v>100</v>
      </c>
      <c r="F19" s="17">
        <f t="shared" si="1"/>
        <v>48</v>
      </c>
      <c r="G19" s="301">
        <f t="shared" si="2"/>
        <v>48</v>
      </c>
      <c r="H19" s="174">
        <f>48</f>
        <v>48</v>
      </c>
      <c r="I19" s="110"/>
      <c r="J19" s="114"/>
      <c r="K19" s="174"/>
      <c r="L19" s="110"/>
      <c r="M19" s="110"/>
      <c r="N19" s="110"/>
      <c r="O19" s="110"/>
      <c r="P19" s="111"/>
      <c r="Q19" s="347">
        <f t="shared" si="3"/>
        <v>52</v>
      </c>
      <c r="R19" s="148">
        <f t="shared" si="4"/>
        <v>52</v>
      </c>
      <c r="S19" s="113">
        <v>52</v>
      </c>
      <c r="T19" s="110"/>
      <c r="U19" s="111"/>
      <c r="V19" s="113"/>
      <c r="W19" s="110"/>
      <c r="X19" s="110"/>
      <c r="Y19" s="110"/>
      <c r="Z19" s="110"/>
      <c r="AA19" s="114"/>
    </row>
    <row r="20" spans="1:27" ht="20.25">
      <c r="A20" s="326" t="s">
        <v>34</v>
      </c>
      <c r="B20" s="154" t="s">
        <v>287</v>
      </c>
      <c r="C20" s="358">
        <v>220</v>
      </c>
      <c r="D20" s="342">
        <v>0</v>
      </c>
      <c r="E20" s="13">
        <f t="shared" si="0"/>
        <v>98</v>
      </c>
      <c r="F20" s="17">
        <f t="shared" si="1"/>
        <v>48</v>
      </c>
      <c r="G20" s="301">
        <f t="shared" si="2"/>
        <v>48</v>
      </c>
      <c r="H20" s="174">
        <f>48</f>
        <v>48</v>
      </c>
      <c r="I20" s="110"/>
      <c r="J20" s="114"/>
      <c r="K20" s="174"/>
      <c r="L20" s="110"/>
      <c r="M20" s="110"/>
      <c r="N20" s="110"/>
      <c r="O20" s="110"/>
      <c r="P20" s="111"/>
      <c r="Q20" s="347">
        <f t="shared" si="3"/>
        <v>50</v>
      </c>
      <c r="R20" s="148">
        <f t="shared" si="4"/>
        <v>50</v>
      </c>
      <c r="S20" s="113">
        <v>50</v>
      </c>
      <c r="T20" s="110"/>
      <c r="U20" s="111"/>
      <c r="V20" s="113"/>
      <c r="W20" s="110"/>
      <c r="X20" s="110"/>
      <c r="Y20" s="110"/>
      <c r="Z20" s="110"/>
      <c r="AA20" s="114"/>
    </row>
    <row r="21" spans="1:27" ht="20.25">
      <c r="A21" s="362" t="s">
        <v>35</v>
      </c>
      <c r="B21" s="266" t="s">
        <v>140</v>
      </c>
      <c r="C21" s="466">
        <v>68</v>
      </c>
      <c r="D21" s="342">
        <v>0</v>
      </c>
      <c r="E21" s="13">
        <f t="shared" si="0"/>
        <v>68</v>
      </c>
      <c r="F21" s="184">
        <f t="shared" si="1"/>
        <v>32</v>
      </c>
      <c r="G21" s="303">
        <f t="shared" si="2"/>
        <v>32</v>
      </c>
      <c r="H21" s="467">
        <v>32</v>
      </c>
      <c r="I21" s="313"/>
      <c r="J21" s="314"/>
      <c r="K21" s="467"/>
      <c r="L21" s="313"/>
      <c r="M21" s="313"/>
      <c r="N21" s="313"/>
      <c r="O21" s="313"/>
      <c r="P21" s="269"/>
      <c r="Q21" s="347">
        <f t="shared" si="3"/>
        <v>36</v>
      </c>
      <c r="R21" s="148">
        <f t="shared" si="4"/>
        <v>34</v>
      </c>
      <c r="S21" s="113">
        <v>34</v>
      </c>
      <c r="T21" s="313"/>
      <c r="U21" s="269"/>
      <c r="V21" s="309"/>
      <c r="W21" s="313"/>
      <c r="X21" s="313">
        <v>2</v>
      </c>
      <c r="Y21" s="313"/>
      <c r="Z21" s="313"/>
      <c r="AA21" s="314"/>
    </row>
    <row r="22" spans="1:27" ht="21" thickBot="1">
      <c r="A22" s="420" t="s">
        <v>36</v>
      </c>
      <c r="B22" s="319" t="s">
        <v>116</v>
      </c>
      <c r="C22" s="418">
        <v>144</v>
      </c>
      <c r="D22" s="410">
        <v>0</v>
      </c>
      <c r="E22" s="95">
        <f t="shared" si="0"/>
        <v>32</v>
      </c>
      <c r="F22" s="99">
        <f>G22+K22+N22+M22</f>
        <v>32</v>
      </c>
      <c r="G22" s="302">
        <f t="shared" si="2"/>
        <v>32</v>
      </c>
      <c r="H22" s="419">
        <v>32</v>
      </c>
      <c r="I22" s="95"/>
      <c r="J22" s="99"/>
      <c r="K22" s="419"/>
      <c r="L22" s="95"/>
      <c r="M22" s="95"/>
      <c r="N22" s="95"/>
      <c r="O22" s="95"/>
      <c r="P22" s="96"/>
      <c r="Q22" s="411">
        <f t="shared" si="3"/>
        <v>0</v>
      </c>
      <c r="R22" s="149">
        <f t="shared" si="4"/>
        <v>0</v>
      </c>
      <c r="S22" s="98"/>
      <c r="T22" s="95"/>
      <c r="U22" s="96"/>
      <c r="V22" s="98"/>
      <c r="W22" s="95"/>
      <c r="X22" s="95"/>
      <c r="Y22" s="95"/>
      <c r="Z22" s="95"/>
      <c r="AA22" s="99"/>
    </row>
    <row r="23" spans="1:27" ht="20.25">
      <c r="A23" s="409" t="s">
        <v>37</v>
      </c>
      <c r="B23" s="414" t="s">
        <v>207</v>
      </c>
      <c r="C23" s="358">
        <v>66</v>
      </c>
      <c r="D23" s="415">
        <f>E23/30</f>
        <v>2.2</v>
      </c>
      <c r="E23" s="110">
        <f t="shared" si="0"/>
        <v>66</v>
      </c>
      <c r="F23" s="114">
        <f>G23+K23+N23+M23</f>
        <v>32</v>
      </c>
      <c r="G23" s="261">
        <f t="shared" si="2"/>
        <v>32</v>
      </c>
      <c r="H23" s="174">
        <v>8</v>
      </c>
      <c r="I23" s="110"/>
      <c r="J23" s="114">
        <f>16+8</f>
        <v>24</v>
      </c>
      <c r="K23" s="174"/>
      <c r="L23" s="110"/>
      <c r="M23" s="110"/>
      <c r="N23" s="110"/>
      <c r="O23" s="110"/>
      <c r="P23" s="111" t="s">
        <v>67</v>
      </c>
      <c r="Q23" s="416">
        <f t="shared" si="3"/>
        <v>34</v>
      </c>
      <c r="R23" s="417">
        <f t="shared" si="4"/>
        <v>34</v>
      </c>
      <c r="S23" s="113">
        <v>8</v>
      </c>
      <c r="T23" s="110"/>
      <c r="U23" s="111">
        <v>26</v>
      </c>
      <c r="V23" s="113"/>
      <c r="W23" s="110"/>
      <c r="X23" s="110"/>
      <c r="Y23" s="110"/>
      <c r="Z23" s="110"/>
      <c r="AA23" s="114" t="s">
        <v>67</v>
      </c>
    </row>
    <row r="24" spans="1:27" ht="20.25">
      <c r="A24" s="326" t="s">
        <v>38</v>
      </c>
      <c r="B24" s="323" t="s">
        <v>263</v>
      </c>
      <c r="C24" s="340">
        <v>105</v>
      </c>
      <c r="D24" s="342">
        <f aca="true" t="shared" si="5" ref="D24:D31">E24/30</f>
        <v>3.5</v>
      </c>
      <c r="E24" s="13">
        <f t="shared" si="0"/>
        <v>105</v>
      </c>
      <c r="F24" s="17">
        <f aca="true" t="shared" si="6" ref="F24:F31">G24+K24+N24+M24</f>
        <v>0</v>
      </c>
      <c r="G24" s="301">
        <f t="shared" si="2"/>
        <v>0</v>
      </c>
      <c r="H24" s="350"/>
      <c r="I24" s="13"/>
      <c r="J24" s="17"/>
      <c r="K24" s="350"/>
      <c r="L24" s="13"/>
      <c r="M24" s="13"/>
      <c r="N24" s="13"/>
      <c r="O24" s="13"/>
      <c r="P24" s="14"/>
      <c r="Q24" s="347">
        <f t="shared" si="3"/>
        <v>105</v>
      </c>
      <c r="R24" s="148">
        <f t="shared" si="4"/>
        <v>34</v>
      </c>
      <c r="S24" s="16">
        <v>18</v>
      </c>
      <c r="T24" s="13"/>
      <c r="U24" s="14">
        <v>16</v>
      </c>
      <c r="V24" s="16">
        <v>71</v>
      </c>
      <c r="W24" s="13"/>
      <c r="X24" s="13"/>
      <c r="Y24" s="13"/>
      <c r="Z24" s="13"/>
      <c r="AA24" s="17" t="s">
        <v>67</v>
      </c>
    </row>
    <row r="25" spans="1:27" ht="20.25">
      <c r="A25" s="326" t="s">
        <v>39</v>
      </c>
      <c r="B25" s="323" t="s">
        <v>265</v>
      </c>
      <c r="C25" s="340">
        <v>210</v>
      </c>
      <c r="D25" s="342">
        <f t="shared" si="5"/>
        <v>7</v>
      </c>
      <c r="E25" s="13">
        <f t="shared" si="0"/>
        <v>210</v>
      </c>
      <c r="F25" s="17">
        <f t="shared" si="6"/>
        <v>135</v>
      </c>
      <c r="G25" s="301">
        <f t="shared" si="2"/>
        <v>64</v>
      </c>
      <c r="H25" s="350">
        <v>40</v>
      </c>
      <c r="I25" s="13"/>
      <c r="J25" s="17">
        <v>24</v>
      </c>
      <c r="K25" s="350">
        <v>71</v>
      </c>
      <c r="L25" s="13"/>
      <c r="M25" s="13"/>
      <c r="N25" s="13"/>
      <c r="O25" s="13"/>
      <c r="P25" s="14" t="s">
        <v>67</v>
      </c>
      <c r="Q25" s="347">
        <f t="shared" si="3"/>
        <v>75</v>
      </c>
      <c r="R25" s="148">
        <f t="shared" si="4"/>
        <v>34</v>
      </c>
      <c r="S25" s="16">
        <v>18</v>
      </c>
      <c r="T25" s="13"/>
      <c r="U25" s="14">
        <v>16</v>
      </c>
      <c r="V25" s="16">
        <v>41</v>
      </c>
      <c r="W25" s="13"/>
      <c r="X25" s="13"/>
      <c r="Y25" s="13"/>
      <c r="Z25" s="13" t="s">
        <v>70</v>
      </c>
      <c r="AA25" s="17"/>
    </row>
    <row r="26" spans="1:27" ht="20.25">
      <c r="A26" s="326" t="s">
        <v>40</v>
      </c>
      <c r="B26" s="323" t="s">
        <v>288</v>
      </c>
      <c r="C26" s="340">
        <v>120</v>
      </c>
      <c r="D26" s="342">
        <f t="shared" si="5"/>
        <v>4</v>
      </c>
      <c r="E26" s="13">
        <f t="shared" si="0"/>
        <v>120</v>
      </c>
      <c r="F26" s="17">
        <f t="shared" si="6"/>
        <v>120</v>
      </c>
      <c r="G26" s="301">
        <f t="shared" si="2"/>
        <v>64</v>
      </c>
      <c r="H26" s="350">
        <v>40</v>
      </c>
      <c r="I26" s="13"/>
      <c r="J26" s="17">
        <v>24</v>
      </c>
      <c r="K26" s="350">
        <v>56</v>
      </c>
      <c r="L26" s="13"/>
      <c r="M26" s="13"/>
      <c r="N26" s="13"/>
      <c r="O26" s="13"/>
      <c r="P26" s="14" t="s">
        <v>67</v>
      </c>
      <c r="Q26" s="347">
        <f t="shared" si="3"/>
        <v>0</v>
      </c>
      <c r="R26" s="148">
        <f t="shared" si="4"/>
        <v>0</v>
      </c>
      <c r="S26" s="16"/>
      <c r="T26" s="13"/>
      <c r="U26" s="14"/>
      <c r="V26" s="16"/>
      <c r="W26" s="13"/>
      <c r="X26" s="13"/>
      <c r="Y26" s="13"/>
      <c r="Z26" s="13"/>
      <c r="AA26" s="17"/>
    </row>
    <row r="27" spans="1:27" ht="20.25">
      <c r="A27" s="326" t="s">
        <v>40</v>
      </c>
      <c r="B27" s="323" t="s">
        <v>85</v>
      </c>
      <c r="C27" s="340">
        <v>90</v>
      </c>
      <c r="D27" s="342">
        <f t="shared" si="5"/>
        <v>3</v>
      </c>
      <c r="E27" s="13">
        <f t="shared" si="0"/>
        <v>90</v>
      </c>
      <c r="F27" s="17">
        <f t="shared" si="6"/>
        <v>0</v>
      </c>
      <c r="G27" s="301">
        <f t="shared" si="2"/>
        <v>0</v>
      </c>
      <c r="H27" s="350"/>
      <c r="I27" s="13"/>
      <c r="J27" s="17"/>
      <c r="K27" s="350"/>
      <c r="L27" s="13"/>
      <c r="M27" s="13"/>
      <c r="N27" s="13"/>
      <c r="O27" s="13"/>
      <c r="P27" s="14"/>
      <c r="Q27" s="347">
        <f t="shared" si="3"/>
        <v>90</v>
      </c>
      <c r="R27" s="148">
        <f t="shared" si="4"/>
        <v>34</v>
      </c>
      <c r="S27" s="16">
        <v>24</v>
      </c>
      <c r="T27" s="13"/>
      <c r="U27" s="14">
        <v>10</v>
      </c>
      <c r="V27" s="16">
        <v>56</v>
      </c>
      <c r="W27" s="13"/>
      <c r="X27" s="13"/>
      <c r="Y27" s="13"/>
      <c r="Z27" s="13" t="s">
        <v>70</v>
      </c>
      <c r="AA27" s="17"/>
    </row>
    <row r="28" spans="1:27" ht="20.25">
      <c r="A28" s="326" t="s">
        <v>41</v>
      </c>
      <c r="B28" s="324" t="s">
        <v>289</v>
      </c>
      <c r="C28" s="340">
        <v>75</v>
      </c>
      <c r="D28" s="342">
        <f t="shared" si="5"/>
        <v>2.5</v>
      </c>
      <c r="E28" s="13">
        <f t="shared" si="0"/>
        <v>75</v>
      </c>
      <c r="F28" s="17">
        <f t="shared" si="6"/>
        <v>75</v>
      </c>
      <c r="G28" s="301">
        <f t="shared" si="2"/>
        <v>32</v>
      </c>
      <c r="H28" s="354">
        <v>16</v>
      </c>
      <c r="I28" s="13"/>
      <c r="J28" s="17">
        <v>16</v>
      </c>
      <c r="K28" s="350">
        <v>43</v>
      </c>
      <c r="L28" s="13"/>
      <c r="M28" s="13"/>
      <c r="N28" s="13"/>
      <c r="O28" s="13"/>
      <c r="P28" s="14" t="s">
        <v>67</v>
      </c>
      <c r="Q28" s="347">
        <f t="shared" si="3"/>
        <v>0</v>
      </c>
      <c r="R28" s="148">
        <f t="shared" si="4"/>
        <v>0</v>
      </c>
      <c r="S28" s="167"/>
      <c r="T28" s="13"/>
      <c r="U28" s="14"/>
      <c r="V28" s="16"/>
      <c r="W28" s="13"/>
      <c r="X28" s="13"/>
      <c r="Y28" s="13"/>
      <c r="Z28" s="13"/>
      <c r="AA28" s="17"/>
    </row>
    <row r="29" spans="1:27" ht="21" thickBot="1">
      <c r="A29" s="326" t="s">
        <v>55</v>
      </c>
      <c r="B29" s="324" t="s">
        <v>290</v>
      </c>
      <c r="C29" s="340">
        <v>120</v>
      </c>
      <c r="D29" s="342">
        <f t="shared" si="5"/>
        <v>4</v>
      </c>
      <c r="E29" s="13">
        <f t="shared" si="0"/>
        <v>120</v>
      </c>
      <c r="F29" s="17">
        <f t="shared" si="6"/>
        <v>0</v>
      </c>
      <c r="G29" s="301">
        <f t="shared" si="2"/>
        <v>0</v>
      </c>
      <c r="H29" s="354"/>
      <c r="I29" s="13"/>
      <c r="J29" s="17"/>
      <c r="K29" s="350"/>
      <c r="L29" s="13"/>
      <c r="M29" s="13"/>
      <c r="N29" s="13"/>
      <c r="O29" s="13"/>
      <c r="P29" s="14"/>
      <c r="Q29" s="347">
        <f t="shared" si="3"/>
        <v>120</v>
      </c>
      <c r="R29" s="148">
        <f t="shared" si="4"/>
        <v>68</v>
      </c>
      <c r="S29" s="421">
        <v>34</v>
      </c>
      <c r="T29" s="172"/>
      <c r="U29" s="173">
        <v>34</v>
      </c>
      <c r="V29" s="176">
        <v>52</v>
      </c>
      <c r="W29" s="172"/>
      <c r="X29" s="172"/>
      <c r="Y29" s="172"/>
      <c r="Z29" s="172" t="s">
        <v>70</v>
      </c>
      <c r="AA29" s="184"/>
    </row>
    <row r="30" spans="1:27" ht="21" thickBot="1">
      <c r="A30" s="215" t="s">
        <v>57</v>
      </c>
      <c r="B30" s="216" t="s">
        <v>137</v>
      </c>
      <c r="C30" s="217">
        <v>120</v>
      </c>
      <c r="D30" s="218">
        <f t="shared" si="5"/>
        <v>4</v>
      </c>
      <c r="E30" s="219">
        <f t="shared" si="0"/>
        <v>120</v>
      </c>
      <c r="F30" s="227">
        <f t="shared" si="6"/>
        <v>0</v>
      </c>
      <c r="G30" s="284">
        <f t="shared" si="2"/>
        <v>0</v>
      </c>
      <c r="H30" s="222"/>
      <c r="I30" s="219"/>
      <c r="J30" s="227"/>
      <c r="K30" s="377"/>
      <c r="L30" s="219"/>
      <c r="M30" s="219"/>
      <c r="N30" s="219"/>
      <c r="O30" s="219"/>
      <c r="P30" s="220"/>
      <c r="Q30" s="378">
        <f>V30+W30+X30+Y30+R30</f>
        <v>120</v>
      </c>
      <c r="R30" s="379">
        <f t="shared" si="4"/>
        <v>68</v>
      </c>
      <c r="S30" s="222">
        <v>38</v>
      </c>
      <c r="T30" s="224"/>
      <c r="U30" s="225">
        <v>30</v>
      </c>
      <c r="V30" s="226">
        <v>52</v>
      </c>
      <c r="W30" s="219"/>
      <c r="X30" s="219"/>
      <c r="Y30" s="219"/>
      <c r="Z30" s="219"/>
      <c r="AA30" s="227" t="s">
        <v>67</v>
      </c>
    </row>
    <row r="31" spans="1:27" s="239" customFormat="1" ht="24.75" customHeight="1" thickBot="1">
      <c r="A31" s="399" t="s">
        <v>143</v>
      </c>
      <c r="B31" s="400" t="s">
        <v>100</v>
      </c>
      <c r="C31" s="401">
        <v>330</v>
      </c>
      <c r="D31" s="402">
        <f t="shared" si="5"/>
        <v>4.5</v>
      </c>
      <c r="E31" s="403">
        <f t="shared" si="0"/>
        <v>135</v>
      </c>
      <c r="F31" s="404">
        <f t="shared" si="6"/>
        <v>0</v>
      </c>
      <c r="G31" s="413">
        <f t="shared" si="2"/>
        <v>0</v>
      </c>
      <c r="H31" s="402"/>
      <c r="I31" s="403"/>
      <c r="J31" s="394"/>
      <c r="K31" s="402"/>
      <c r="L31" s="403"/>
      <c r="M31" s="403"/>
      <c r="N31" s="403"/>
      <c r="O31" s="403"/>
      <c r="P31" s="404"/>
      <c r="Q31" s="406">
        <f>V31+X31+Y31+R31</f>
        <v>135</v>
      </c>
      <c r="R31" s="407">
        <f t="shared" si="4"/>
        <v>90</v>
      </c>
      <c r="S31" s="408"/>
      <c r="T31" s="403"/>
      <c r="U31" s="404">
        <f>3*30</f>
        <v>90</v>
      </c>
      <c r="V31" s="408">
        <f>3*15</f>
        <v>45</v>
      </c>
      <c r="W31" s="403"/>
      <c r="X31" s="403"/>
      <c r="Y31" s="403"/>
      <c r="Z31" s="403"/>
      <c r="AA31" s="394" t="s">
        <v>67</v>
      </c>
    </row>
    <row r="32" spans="1:27" ht="24.75" customHeight="1" thickBot="1">
      <c r="A32" s="240"/>
      <c r="B32" s="241" t="s">
        <v>42</v>
      </c>
      <c r="C32" s="39">
        <f>SUM(C14:C31)</f>
        <v>2708</v>
      </c>
      <c r="D32" s="39">
        <f aca="true" t="shared" si="7" ref="D32:N32">SUM(D14:D30)</f>
        <v>30.2</v>
      </c>
      <c r="E32" s="39">
        <f t="shared" si="7"/>
        <v>1628</v>
      </c>
      <c r="F32" s="39">
        <f t="shared" si="7"/>
        <v>682</v>
      </c>
      <c r="G32" s="39">
        <f t="shared" si="7"/>
        <v>512</v>
      </c>
      <c r="H32" s="39">
        <f t="shared" si="7"/>
        <v>424</v>
      </c>
      <c r="I32" s="39">
        <f t="shared" si="7"/>
        <v>0</v>
      </c>
      <c r="J32" s="39">
        <f t="shared" si="7"/>
        <v>88</v>
      </c>
      <c r="K32" s="39">
        <f t="shared" si="7"/>
        <v>170</v>
      </c>
      <c r="L32" s="39">
        <f t="shared" si="7"/>
        <v>0</v>
      </c>
      <c r="M32" s="39">
        <f t="shared" si="7"/>
        <v>0</v>
      </c>
      <c r="N32" s="39">
        <f t="shared" si="7"/>
        <v>0</v>
      </c>
      <c r="O32" s="39">
        <v>0</v>
      </c>
      <c r="P32" s="39">
        <v>4</v>
      </c>
      <c r="Q32" s="39">
        <f>SUM(Q14:Q31)</f>
        <v>1081</v>
      </c>
      <c r="R32" s="456">
        <f>SUM(R14:R30)</f>
        <v>612</v>
      </c>
      <c r="S32" s="456">
        <f>SUM(S14:S30)</f>
        <v>480</v>
      </c>
      <c r="T32" s="456">
        <f>SUM(T14:T30)</f>
        <v>0</v>
      </c>
      <c r="U32" s="456">
        <f>SUM(U14:U30)</f>
        <v>132</v>
      </c>
      <c r="V32" s="456">
        <f>SUM(V14:V30)</f>
        <v>272</v>
      </c>
      <c r="W32" s="456">
        <v>0</v>
      </c>
      <c r="X32" s="456">
        <f>SUM(X14:X30)</f>
        <v>62</v>
      </c>
      <c r="Y32" s="456">
        <f>SUM(Y14:Y30)</f>
        <v>0</v>
      </c>
      <c r="Z32" s="456">
        <v>6</v>
      </c>
      <c r="AA32" s="456">
        <v>3</v>
      </c>
    </row>
    <row r="33" spans="1:27" ht="24.75" customHeight="1" thickBot="1">
      <c r="A33" s="589"/>
      <c r="B33" s="384" t="s">
        <v>43</v>
      </c>
      <c r="C33" s="46"/>
      <c r="D33" s="387"/>
      <c r="E33" s="47"/>
      <c r="F33" s="388"/>
      <c r="G33" s="389">
        <f>G32/J10</f>
        <v>32</v>
      </c>
      <c r="H33" s="46"/>
      <c r="I33" s="47"/>
      <c r="J33" s="47"/>
      <c r="K33" s="47"/>
      <c r="L33" s="47"/>
      <c r="M33" s="47"/>
      <c r="N33" s="47"/>
      <c r="O33" s="48"/>
      <c r="P33" s="49"/>
      <c r="Q33" s="388"/>
      <c r="R33" s="390">
        <f>SUM(R14:R30)/U10</f>
        <v>36</v>
      </c>
      <c r="S33" s="391"/>
      <c r="T33" s="47"/>
      <c r="U33" s="47"/>
      <c r="V33" s="47"/>
      <c r="W33" s="47"/>
      <c r="X33" s="47"/>
      <c r="Y33" s="47"/>
      <c r="Z33" s="48"/>
      <c r="AA33" s="49"/>
    </row>
    <row r="34" spans="1:27" ht="24.75" customHeight="1" thickBot="1">
      <c r="A34" s="590"/>
      <c r="B34" s="385" t="s">
        <v>44</v>
      </c>
      <c r="C34" s="57"/>
      <c r="D34" s="54"/>
      <c r="E34" s="43"/>
      <c r="F34" s="55"/>
      <c r="G34" s="56"/>
      <c r="H34" s="57"/>
      <c r="I34" s="43"/>
      <c r="J34" s="43"/>
      <c r="K34" s="43"/>
      <c r="L34" s="43"/>
      <c r="M34" s="43"/>
      <c r="N34" s="58"/>
      <c r="O34" s="39">
        <v>0</v>
      </c>
      <c r="P34" s="59"/>
      <c r="Q34" s="60"/>
      <c r="R34" s="61"/>
      <c r="S34" s="62"/>
      <c r="T34" s="62"/>
      <c r="U34" s="62"/>
      <c r="V34" s="62"/>
      <c r="W34" s="62"/>
      <c r="X34" s="62"/>
      <c r="Y34" s="58"/>
      <c r="Z34" s="39">
        <v>6</v>
      </c>
      <c r="AA34" s="144"/>
    </row>
    <row r="35" spans="1:27" ht="24.75" customHeight="1" thickBot="1">
      <c r="A35" s="590"/>
      <c r="B35" s="385" t="s">
        <v>45</v>
      </c>
      <c r="C35" s="57"/>
      <c r="D35" s="54"/>
      <c r="E35" s="43"/>
      <c r="F35" s="55"/>
      <c r="G35" s="58"/>
      <c r="H35" s="57"/>
      <c r="I35" s="43"/>
      <c r="J35" s="43"/>
      <c r="K35" s="43"/>
      <c r="L35" s="63"/>
      <c r="M35" s="43"/>
      <c r="N35" s="62"/>
      <c r="O35" s="56"/>
      <c r="P35" s="39">
        <v>4</v>
      </c>
      <c r="Q35" s="60"/>
      <c r="R35" s="62"/>
      <c r="S35" s="62"/>
      <c r="T35" s="62"/>
      <c r="U35" s="62"/>
      <c r="V35" s="62"/>
      <c r="W35" s="64"/>
      <c r="X35" s="62"/>
      <c r="Y35" s="62"/>
      <c r="Z35" s="56"/>
      <c r="AA35" s="39">
        <v>4</v>
      </c>
    </row>
    <row r="36" spans="1:27" ht="24.75" customHeight="1" thickBot="1">
      <c r="A36" s="590"/>
      <c r="B36" s="386" t="s">
        <v>46</v>
      </c>
      <c r="C36" s="68"/>
      <c r="D36" s="70"/>
      <c r="E36" s="69"/>
      <c r="F36" s="71"/>
      <c r="G36" s="70"/>
      <c r="H36" s="68"/>
      <c r="I36" s="69"/>
      <c r="J36" s="69"/>
      <c r="K36" s="70"/>
      <c r="L36" s="39">
        <v>0</v>
      </c>
      <c r="M36" s="71"/>
      <c r="N36" s="72"/>
      <c r="O36" s="72"/>
      <c r="P36" s="73"/>
      <c r="Q36" s="392"/>
      <c r="R36" s="72"/>
      <c r="S36" s="72"/>
      <c r="T36" s="72"/>
      <c r="U36" s="72"/>
      <c r="V36" s="393"/>
      <c r="W36" s="39">
        <v>0</v>
      </c>
      <c r="X36" s="71"/>
      <c r="Y36" s="69"/>
      <c r="Z36" s="72"/>
      <c r="AA36" s="73"/>
    </row>
    <row r="37" spans="1:27" ht="24.75" customHeight="1" thickBot="1">
      <c r="A37" s="591"/>
      <c r="B37" s="137" t="s">
        <v>47</v>
      </c>
      <c r="C37" s="77">
        <f>SUM(C33:C36)</f>
        <v>0</v>
      </c>
      <c r="D37" s="77">
        <f aca="true" t="shared" si="8" ref="D37:AA37">SUM(D33:D36)</f>
        <v>0</v>
      </c>
      <c r="E37" s="77">
        <f t="shared" si="8"/>
        <v>0</v>
      </c>
      <c r="F37" s="79">
        <f t="shared" si="8"/>
        <v>0</v>
      </c>
      <c r="G37" s="390">
        <f>SUM(G33:G36)</f>
        <v>32</v>
      </c>
      <c r="H37" s="38">
        <f t="shared" si="8"/>
        <v>0</v>
      </c>
      <c r="I37" s="31">
        <f t="shared" si="8"/>
        <v>0</v>
      </c>
      <c r="J37" s="31">
        <f t="shared" si="8"/>
        <v>0</v>
      </c>
      <c r="K37" s="32">
        <f t="shared" si="8"/>
        <v>0</v>
      </c>
      <c r="L37" s="39">
        <f t="shared" si="8"/>
        <v>0</v>
      </c>
      <c r="M37" s="38">
        <f t="shared" si="8"/>
        <v>0</v>
      </c>
      <c r="N37" s="31">
        <f t="shared" si="8"/>
        <v>0</v>
      </c>
      <c r="O37" s="31">
        <f t="shared" si="8"/>
        <v>0</v>
      </c>
      <c r="P37" s="31">
        <f t="shared" si="8"/>
        <v>4</v>
      </c>
      <c r="Q37" s="79">
        <f t="shared" si="8"/>
        <v>0</v>
      </c>
      <c r="R37" s="390">
        <f t="shared" si="8"/>
        <v>36</v>
      </c>
      <c r="S37" s="243">
        <f t="shared" si="8"/>
        <v>0</v>
      </c>
      <c r="T37" s="77">
        <f t="shared" si="8"/>
        <v>0</v>
      </c>
      <c r="U37" s="77">
        <f t="shared" si="8"/>
        <v>0</v>
      </c>
      <c r="V37" s="79">
        <f t="shared" si="8"/>
        <v>0</v>
      </c>
      <c r="W37" s="39">
        <f t="shared" si="8"/>
        <v>0</v>
      </c>
      <c r="X37" s="243">
        <f t="shared" si="8"/>
        <v>0</v>
      </c>
      <c r="Y37" s="77">
        <f t="shared" si="8"/>
        <v>0</v>
      </c>
      <c r="Z37" s="77">
        <f>SUM(Z33:Z36)</f>
        <v>6</v>
      </c>
      <c r="AA37" s="146">
        <f t="shared" si="8"/>
        <v>4</v>
      </c>
    </row>
    <row r="38" spans="1:27" ht="24.75" customHeight="1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6.25">
      <c r="A41" s="1"/>
      <c r="B41" s="82" t="s">
        <v>60</v>
      </c>
      <c r="C41" s="82"/>
      <c r="D41" s="82"/>
      <c r="E41" s="82"/>
      <c r="F41" s="82"/>
      <c r="G41" s="82"/>
      <c r="H41" s="82"/>
      <c r="I41" s="82"/>
      <c r="J41" s="82"/>
      <c r="K41" s="82" t="s">
        <v>59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86"/>
      <c r="AA41" s="86"/>
    </row>
    <row r="42" spans="1:27" ht="26.25">
      <c r="A42" s="87"/>
      <c r="B42" s="592"/>
      <c r="C42" s="592"/>
      <c r="D42" s="592"/>
      <c r="E42" s="592"/>
      <c r="F42" s="592"/>
      <c r="G42" s="592"/>
      <c r="H42" s="592"/>
      <c r="I42" s="592"/>
      <c r="J42" s="592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49</v>
      </c>
      <c r="U42" s="91" t="s">
        <v>50</v>
      </c>
      <c r="V42" s="91"/>
      <c r="W42" s="91"/>
      <c r="X42" s="90"/>
      <c r="Y42" s="90"/>
      <c r="Z42" s="92"/>
      <c r="AA42" s="92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/>
      <c r="L43" s="82"/>
      <c r="M43" s="82"/>
      <c r="N43" s="82"/>
      <c r="O43" s="82"/>
      <c r="P43" s="82"/>
      <c r="Q43" s="82"/>
      <c r="R43" s="82"/>
      <c r="S43" s="82"/>
      <c r="T43" s="84"/>
      <c r="U43" s="84"/>
      <c r="V43" s="84"/>
      <c r="W43" s="84"/>
      <c r="X43" s="93"/>
      <c r="Y43" s="93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2" t="s">
        <v>51</v>
      </c>
      <c r="L44" s="82"/>
      <c r="M44" s="82"/>
      <c r="N44" s="82"/>
      <c r="O44" s="82"/>
      <c r="P44" s="82"/>
      <c r="Q44" s="82"/>
      <c r="R44" s="83"/>
      <c r="S44" s="83"/>
      <c r="T44" s="84"/>
      <c r="U44" s="85"/>
      <c r="V44" s="85"/>
      <c r="W44" s="85"/>
      <c r="X44" s="85"/>
      <c r="Y44" s="86"/>
      <c r="Z44" s="94"/>
      <c r="AA44" s="94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 t="s">
        <v>48</v>
      </c>
      <c r="S45" s="89"/>
      <c r="T45" s="90" t="s">
        <v>52</v>
      </c>
      <c r="U45" s="91" t="s">
        <v>50</v>
      </c>
      <c r="V45" s="91"/>
      <c r="W45" s="91"/>
      <c r="X45" s="90"/>
      <c r="Y45" s="90"/>
      <c r="Z45" s="94"/>
      <c r="AA45" s="94"/>
    </row>
  </sheetData>
  <sheetProtection/>
  <mergeCells count="42">
    <mergeCell ref="A33:A37"/>
    <mergeCell ref="B42:J42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5"/>
  <sheetViews>
    <sheetView zoomScale="50" zoomScaleNormal="50" zoomScalePageLayoutView="0" workbookViewId="0" topLeftCell="A12">
      <selection activeCell="K32" sqref="K32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161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183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62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53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153" t="s">
        <v>102</v>
      </c>
      <c r="C14" s="339">
        <v>164</v>
      </c>
      <c r="D14" s="341">
        <v>0</v>
      </c>
      <c r="E14" s="7">
        <f aca="true" t="shared" si="0" ref="E14:E31">F14+Q14</f>
        <v>86</v>
      </c>
      <c r="F14" s="11">
        <f aca="true" t="shared" si="1" ref="F14:F20">G14+K14+N14+M14</f>
        <v>32</v>
      </c>
      <c r="G14" s="259">
        <f aca="true" t="shared" si="2" ref="G14:G19">H14+I14+J14</f>
        <v>32</v>
      </c>
      <c r="H14" s="349">
        <v>32</v>
      </c>
      <c r="I14" s="7"/>
      <c r="J14" s="11"/>
      <c r="K14" s="349"/>
      <c r="L14" s="7"/>
      <c r="M14" s="7"/>
      <c r="N14" s="7"/>
      <c r="O14" s="7"/>
      <c r="P14" s="8"/>
      <c r="Q14" s="346">
        <f aca="true" t="shared" si="3" ref="Q14:Q29">V14+X14+Y14+R14</f>
        <v>54</v>
      </c>
      <c r="R14" s="147">
        <f aca="true" t="shared" si="4" ref="R14:R31">S14+T14+U14</f>
        <v>34</v>
      </c>
      <c r="S14" s="10">
        <v>34</v>
      </c>
      <c r="T14" s="7"/>
      <c r="U14" s="8"/>
      <c r="V14" s="10"/>
      <c r="W14" s="7"/>
      <c r="X14" s="7">
        <v>20</v>
      </c>
      <c r="Y14" s="7"/>
      <c r="Z14" s="7" t="s">
        <v>138</v>
      </c>
      <c r="AA14" s="11"/>
    </row>
    <row r="15" spans="1:27" ht="24.75" customHeight="1">
      <c r="A15" s="409" t="s">
        <v>29</v>
      </c>
      <c r="B15" s="154" t="s">
        <v>103</v>
      </c>
      <c r="C15" s="358">
        <v>144</v>
      </c>
      <c r="D15" s="342">
        <v>0</v>
      </c>
      <c r="E15" s="13">
        <f t="shared" si="0"/>
        <v>66</v>
      </c>
      <c r="F15" s="17">
        <f t="shared" si="1"/>
        <v>32</v>
      </c>
      <c r="G15" s="301">
        <f t="shared" si="2"/>
        <v>32</v>
      </c>
      <c r="H15" s="174">
        <v>32</v>
      </c>
      <c r="I15" s="110"/>
      <c r="J15" s="114"/>
      <c r="K15" s="174"/>
      <c r="L15" s="110"/>
      <c r="M15" s="110"/>
      <c r="N15" s="110"/>
      <c r="O15" s="110"/>
      <c r="P15" s="111"/>
      <c r="Q15" s="347">
        <f t="shared" si="3"/>
        <v>34</v>
      </c>
      <c r="R15" s="148">
        <f t="shared" si="4"/>
        <v>34</v>
      </c>
      <c r="S15" s="113">
        <v>34</v>
      </c>
      <c r="T15" s="110"/>
      <c r="U15" s="111"/>
      <c r="V15" s="113"/>
      <c r="W15" s="110"/>
      <c r="X15" s="110"/>
      <c r="Y15" s="110"/>
      <c r="Z15" s="110"/>
      <c r="AA15" s="114"/>
    </row>
    <row r="16" spans="1:27" ht="24.75" customHeight="1">
      <c r="A16" s="409" t="s">
        <v>30</v>
      </c>
      <c r="B16" s="154" t="s">
        <v>139</v>
      </c>
      <c r="C16" s="358">
        <v>144</v>
      </c>
      <c r="D16" s="342">
        <v>0</v>
      </c>
      <c r="E16" s="13">
        <f t="shared" si="0"/>
        <v>66</v>
      </c>
      <c r="F16" s="17">
        <f t="shared" si="1"/>
        <v>32</v>
      </c>
      <c r="G16" s="301">
        <f t="shared" si="2"/>
        <v>32</v>
      </c>
      <c r="H16" s="174">
        <v>32</v>
      </c>
      <c r="I16" s="110"/>
      <c r="J16" s="114"/>
      <c r="K16" s="174"/>
      <c r="L16" s="110"/>
      <c r="M16" s="110"/>
      <c r="N16" s="110"/>
      <c r="O16" s="110"/>
      <c r="P16" s="111"/>
      <c r="Q16" s="347">
        <f t="shared" si="3"/>
        <v>34</v>
      </c>
      <c r="R16" s="148">
        <f t="shared" si="4"/>
        <v>34</v>
      </c>
      <c r="S16" s="113">
        <v>34</v>
      </c>
      <c r="T16" s="110"/>
      <c r="U16" s="111"/>
      <c r="V16" s="113"/>
      <c r="W16" s="110"/>
      <c r="X16" s="110"/>
      <c r="Y16" s="110"/>
      <c r="Z16" s="110"/>
      <c r="AA16" s="114"/>
    </row>
    <row r="17" spans="1:27" ht="24.75" customHeight="1">
      <c r="A17" s="409" t="s">
        <v>31</v>
      </c>
      <c r="B17" s="154" t="s">
        <v>106</v>
      </c>
      <c r="C17" s="358">
        <v>130</v>
      </c>
      <c r="D17" s="342">
        <v>0</v>
      </c>
      <c r="E17" s="13">
        <f t="shared" si="0"/>
        <v>86</v>
      </c>
      <c r="F17" s="17">
        <f t="shared" si="1"/>
        <v>32</v>
      </c>
      <c r="G17" s="301">
        <f t="shared" si="2"/>
        <v>32</v>
      </c>
      <c r="H17" s="174">
        <v>32</v>
      </c>
      <c r="I17" s="110"/>
      <c r="J17" s="114"/>
      <c r="K17" s="174"/>
      <c r="L17" s="110"/>
      <c r="M17" s="110"/>
      <c r="N17" s="110"/>
      <c r="O17" s="110"/>
      <c r="P17" s="111"/>
      <c r="Q17" s="347">
        <f t="shared" si="3"/>
        <v>54</v>
      </c>
      <c r="R17" s="148">
        <f t="shared" si="4"/>
        <v>34</v>
      </c>
      <c r="S17" s="113">
        <v>34</v>
      </c>
      <c r="T17" s="110"/>
      <c r="U17" s="111"/>
      <c r="V17" s="113"/>
      <c r="W17" s="110"/>
      <c r="X17" s="110">
        <v>20</v>
      </c>
      <c r="Y17" s="110"/>
      <c r="Z17" s="110" t="s">
        <v>138</v>
      </c>
      <c r="AA17" s="114"/>
    </row>
    <row r="18" spans="1:27" ht="24.75" customHeight="1">
      <c r="A18" s="409" t="s">
        <v>32</v>
      </c>
      <c r="B18" s="154" t="s">
        <v>110</v>
      </c>
      <c r="C18" s="358">
        <v>242</v>
      </c>
      <c r="D18" s="342">
        <v>0</v>
      </c>
      <c r="E18" s="13">
        <f t="shared" si="0"/>
        <v>120</v>
      </c>
      <c r="F18" s="17">
        <f t="shared" si="1"/>
        <v>32</v>
      </c>
      <c r="G18" s="301">
        <f t="shared" si="2"/>
        <v>32</v>
      </c>
      <c r="H18" s="174">
        <v>32</v>
      </c>
      <c r="I18" s="110"/>
      <c r="J18" s="114"/>
      <c r="K18" s="174"/>
      <c r="L18" s="110"/>
      <c r="M18" s="110"/>
      <c r="N18" s="110"/>
      <c r="O18" s="110"/>
      <c r="P18" s="111"/>
      <c r="Q18" s="347">
        <f t="shared" si="3"/>
        <v>88</v>
      </c>
      <c r="R18" s="148">
        <f t="shared" si="4"/>
        <v>68</v>
      </c>
      <c r="S18" s="113">
        <f>17*4</f>
        <v>68</v>
      </c>
      <c r="T18" s="110"/>
      <c r="U18" s="111"/>
      <c r="V18" s="113"/>
      <c r="W18" s="110"/>
      <c r="X18" s="110">
        <v>20</v>
      </c>
      <c r="Y18" s="110"/>
      <c r="Z18" s="110" t="s">
        <v>138</v>
      </c>
      <c r="AA18" s="114"/>
    </row>
    <row r="19" spans="1:27" ht="24.75" customHeight="1">
      <c r="A19" s="409" t="s">
        <v>33</v>
      </c>
      <c r="B19" s="154" t="s">
        <v>111</v>
      </c>
      <c r="C19" s="358">
        <v>216</v>
      </c>
      <c r="D19" s="342">
        <v>0</v>
      </c>
      <c r="E19" s="13">
        <f t="shared" si="0"/>
        <v>100</v>
      </c>
      <c r="F19" s="17">
        <f t="shared" si="1"/>
        <v>48</v>
      </c>
      <c r="G19" s="301">
        <f t="shared" si="2"/>
        <v>48</v>
      </c>
      <c r="H19" s="174">
        <f>3*16</f>
        <v>48</v>
      </c>
      <c r="I19" s="110"/>
      <c r="J19" s="114"/>
      <c r="K19" s="174"/>
      <c r="L19" s="110"/>
      <c r="M19" s="110"/>
      <c r="N19" s="110"/>
      <c r="O19" s="110"/>
      <c r="P19" s="111"/>
      <c r="Q19" s="347">
        <f t="shared" si="3"/>
        <v>52</v>
      </c>
      <c r="R19" s="148">
        <f t="shared" si="4"/>
        <v>52</v>
      </c>
      <c r="S19" s="113">
        <v>52</v>
      </c>
      <c r="T19" s="110"/>
      <c r="U19" s="111"/>
      <c r="V19" s="113"/>
      <c r="W19" s="110"/>
      <c r="X19" s="110"/>
      <c r="Y19" s="110"/>
      <c r="Z19" s="110"/>
      <c r="AA19" s="114"/>
    </row>
    <row r="20" spans="1:27" ht="24.75" customHeight="1">
      <c r="A20" s="326" t="s">
        <v>34</v>
      </c>
      <c r="B20" s="154" t="s">
        <v>140</v>
      </c>
      <c r="C20" s="358">
        <v>68</v>
      </c>
      <c r="D20" s="342">
        <v>0</v>
      </c>
      <c r="E20" s="13">
        <f t="shared" si="0"/>
        <v>68</v>
      </c>
      <c r="F20" s="17">
        <f t="shared" si="1"/>
        <v>32</v>
      </c>
      <c r="G20" s="301">
        <f aca="true" t="shared" si="5" ref="G20:G31">H20+I20+J20</f>
        <v>32</v>
      </c>
      <c r="H20" s="174">
        <v>32</v>
      </c>
      <c r="I20" s="110"/>
      <c r="J20" s="114"/>
      <c r="K20" s="174"/>
      <c r="L20" s="110"/>
      <c r="M20" s="110"/>
      <c r="N20" s="110"/>
      <c r="O20" s="110"/>
      <c r="P20" s="111"/>
      <c r="Q20" s="347">
        <f t="shared" si="3"/>
        <v>36</v>
      </c>
      <c r="R20" s="148">
        <f t="shared" si="4"/>
        <v>34</v>
      </c>
      <c r="S20" s="113">
        <v>34</v>
      </c>
      <c r="T20" s="110"/>
      <c r="U20" s="111"/>
      <c r="V20" s="113"/>
      <c r="W20" s="110"/>
      <c r="X20" s="110">
        <v>2</v>
      </c>
      <c r="Y20" s="110"/>
      <c r="Z20" s="110"/>
      <c r="AA20" s="114"/>
    </row>
    <row r="21" spans="1:27" ht="24.75" customHeight="1" thickBot="1">
      <c r="A21" s="420" t="s">
        <v>35</v>
      </c>
      <c r="B21" s="319" t="s">
        <v>115</v>
      </c>
      <c r="C21" s="418">
        <v>225</v>
      </c>
      <c r="D21" s="410">
        <v>0</v>
      </c>
      <c r="E21" s="95">
        <f t="shared" si="0"/>
        <v>103</v>
      </c>
      <c r="F21" s="99">
        <f>G21+K21+N21+M21</f>
        <v>48</v>
      </c>
      <c r="G21" s="302">
        <f t="shared" si="5"/>
        <v>48</v>
      </c>
      <c r="H21" s="419">
        <v>48</v>
      </c>
      <c r="I21" s="95"/>
      <c r="J21" s="99"/>
      <c r="K21" s="419"/>
      <c r="L21" s="95"/>
      <c r="M21" s="95"/>
      <c r="N21" s="95"/>
      <c r="O21" s="95"/>
      <c r="P21" s="96"/>
      <c r="Q21" s="411">
        <f t="shared" si="3"/>
        <v>55</v>
      </c>
      <c r="R21" s="149">
        <f t="shared" si="4"/>
        <v>50</v>
      </c>
      <c r="S21" s="98">
        <v>50</v>
      </c>
      <c r="T21" s="95"/>
      <c r="U21" s="96"/>
      <c r="V21" s="98"/>
      <c r="W21" s="95"/>
      <c r="X21" s="95">
        <v>5</v>
      </c>
      <c r="Y21" s="95"/>
      <c r="Z21" s="95"/>
      <c r="AA21" s="99"/>
    </row>
    <row r="22" spans="1:27" ht="24.75" customHeight="1">
      <c r="A22" s="409" t="s">
        <v>36</v>
      </c>
      <c r="B22" s="414" t="s">
        <v>184</v>
      </c>
      <c r="C22" s="358">
        <v>100</v>
      </c>
      <c r="D22" s="415">
        <f>E22/30</f>
        <v>7</v>
      </c>
      <c r="E22" s="110">
        <f t="shared" si="0"/>
        <v>210</v>
      </c>
      <c r="F22" s="114">
        <f>G22+K22+N22+M22</f>
        <v>158</v>
      </c>
      <c r="G22" s="261">
        <f t="shared" si="5"/>
        <v>48</v>
      </c>
      <c r="H22" s="174">
        <v>16</v>
      </c>
      <c r="I22" s="110"/>
      <c r="J22" s="114">
        <v>32</v>
      </c>
      <c r="K22" s="174">
        <v>110</v>
      </c>
      <c r="L22" s="110"/>
      <c r="M22" s="110"/>
      <c r="N22" s="110"/>
      <c r="O22" s="110"/>
      <c r="P22" s="111" t="s">
        <v>67</v>
      </c>
      <c r="Q22" s="416">
        <f t="shared" si="3"/>
        <v>52</v>
      </c>
      <c r="R22" s="417">
        <f t="shared" si="4"/>
        <v>52</v>
      </c>
      <c r="S22" s="113">
        <v>18</v>
      </c>
      <c r="T22" s="110"/>
      <c r="U22" s="111">
        <v>34</v>
      </c>
      <c r="V22" s="113"/>
      <c r="W22" s="110"/>
      <c r="X22" s="110"/>
      <c r="Y22" s="110"/>
      <c r="Z22" s="110"/>
      <c r="AA22" s="114" t="s">
        <v>67</v>
      </c>
    </row>
    <row r="23" spans="1:27" ht="24.75" customHeight="1">
      <c r="A23" s="326" t="s">
        <v>37</v>
      </c>
      <c r="B23" s="323" t="s">
        <v>185</v>
      </c>
      <c r="C23" s="340">
        <v>60</v>
      </c>
      <c r="D23" s="342">
        <f aca="true" t="shared" si="6" ref="D23:D31">E23/30</f>
        <v>2</v>
      </c>
      <c r="E23" s="13">
        <f t="shared" si="0"/>
        <v>60</v>
      </c>
      <c r="F23" s="17">
        <f aca="true" t="shared" si="7" ref="F23:F31">G23+K23+N23+M23</f>
        <v>0</v>
      </c>
      <c r="G23" s="301">
        <f t="shared" si="5"/>
        <v>0</v>
      </c>
      <c r="H23" s="350"/>
      <c r="I23" s="13"/>
      <c r="J23" s="17"/>
      <c r="K23" s="350"/>
      <c r="L23" s="13"/>
      <c r="M23" s="13"/>
      <c r="N23" s="13"/>
      <c r="O23" s="13"/>
      <c r="P23" s="14"/>
      <c r="Q23" s="347">
        <f t="shared" si="3"/>
        <v>60</v>
      </c>
      <c r="R23" s="148">
        <f t="shared" si="4"/>
        <v>34</v>
      </c>
      <c r="S23" s="16">
        <v>18</v>
      </c>
      <c r="T23" s="13"/>
      <c r="U23" s="14">
        <v>16</v>
      </c>
      <c r="V23" s="16">
        <v>26</v>
      </c>
      <c r="W23" s="13"/>
      <c r="X23" s="13"/>
      <c r="Y23" s="13"/>
      <c r="Z23" s="13"/>
      <c r="AA23" s="17" t="s">
        <v>67</v>
      </c>
    </row>
    <row r="24" spans="1:27" ht="24.75" customHeight="1">
      <c r="A24" s="326" t="s">
        <v>38</v>
      </c>
      <c r="B24" s="323" t="s">
        <v>187</v>
      </c>
      <c r="C24" s="340">
        <v>120</v>
      </c>
      <c r="D24" s="342">
        <f t="shared" si="6"/>
        <v>4</v>
      </c>
      <c r="E24" s="13">
        <f t="shared" si="0"/>
        <v>120</v>
      </c>
      <c r="F24" s="17">
        <f t="shared" si="7"/>
        <v>120</v>
      </c>
      <c r="G24" s="301">
        <f t="shared" si="5"/>
        <v>32</v>
      </c>
      <c r="H24" s="350">
        <v>16</v>
      </c>
      <c r="I24" s="13"/>
      <c r="J24" s="17">
        <v>16</v>
      </c>
      <c r="K24" s="350">
        <v>88</v>
      </c>
      <c r="L24" s="13"/>
      <c r="M24" s="13"/>
      <c r="N24" s="13"/>
      <c r="O24" s="13"/>
      <c r="P24" s="14" t="s">
        <v>67</v>
      </c>
      <c r="Q24" s="347">
        <f t="shared" si="3"/>
        <v>0</v>
      </c>
      <c r="R24" s="148">
        <f t="shared" si="4"/>
        <v>0</v>
      </c>
      <c r="S24" s="16"/>
      <c r="T24" s="13"/>
      <c r="U24" s="14"/>
      <c r="V24" s="16"/>
      <c r="W24" s="13"/>
      <c r="X24" s="13"/>
      <c r="Y24" s="13"/>
      <c r="Z24" s="13"/>
      <c r="AA24" s="17"/>
    </row>
    <row r="25" spans="1:27" ht="24.75" customHeight="1">
      <c r="A25" s="326" t="s">
        <v>39</v>
      </c>
      <c r="B25" s="323" t="s">
        <v>186</v>
      </c>
      <c r="C25" s="340">
        <v>150</v>
      </c>
      <c r="D25" s="342">
        <f t="shared" si="6"/>
        <v>5</v>
      </c>
      <c r="E25" s="13">
        <f t="shared" si="0"/>
        <v>150</v>
      </c>
      <c r="F25" s="17">
        <f t="shared" si="7"/>
        <v>150</v>
      </c>
      <c r="G25" s="301">
        <f t="shared" si="5"/>
        <v>64</v>
      </c>
      <c r="H25" s="350">
        <v>32</v>
      </c>
      <c r="I25" s="13"/>
      <c r="J25" s="17">
        <v>32</v>
      </c>
      <c r="K25" s="350">
        <v>86</v>
      </c>
      <c r="L25" s="13"/>
      <c r="M25" s="13"/>
      <c r="N25" s="13"/>
      <c r="O25" s="13"/>
      <c r="P25" s="14" t="s">
        <v>67</v>
      </c>
      <c r="Q25" s="347">
        <f t="shared" si="3"/>
        <v>0</v>
      </c>
      <c r="R25" s="148">
        <f t="shared" si="4"/>
        <v>0</v>
      </c>
      <c r="S25" s="16"/>
      <c r="T25" s="13"/>
      <c r="U25" s="14"/>
      <c r="V25" s="16"/>
      <c r="W25" s="13"/>
      <c r="X25" s="13"/>
      <c r="Y25" s="13"/>
      <c r="Z25" s="13"/>
      <c r="AA25" s="17"/>
    </row>
    <row r="26" spans="1:27" ht="20.25">
      <c r="A26" s="326" t="s">
        <v>40</v>
      </c>
      <c r="B26" s="323" t="s">
        <v>188</v>
      </c>
      <c r="C26" s="340">
        <v>180</v>
      </c>
      <c r="D26" s="342">
        <f t="shared" si="6"/>
        <v>6</v>
      </c>
      <c r="E26" s="13">
        <f t="shared" si="0"/>
        <v>180</v>
      </c>
      <c r="F26" s="17">
        <f t="shared" si="7"/>
        <v>180</v>
      </c>
      <c r="G26" s="301">
        <f t="shared" si="5"/>
        <v>64</v>
      </c>
      <c r="H26" s="350">
        <v>32</v>
      </c>
      <c r="I26" s="13"/>
      <c r="J26" s="17">
        <v>32</v>
      </c>
      <c r="K26" s="350">
        <v>116</v>
      </c>
      <c r="L26" s="13"/>
      <c r="M26" s="13"/>
      <c r="N26" s="13"/>
      <c r="O26" s="13" t="s">
        <v>69</v>
      </c>
      <c r="P26" s="14"/>
      <c r="Q26" s="347">
        <f t="shared" si="3"/>
        <v>0</v>
      </c>
      <c r="R26" s="148">
        <f t="shared" si="4"/>
        <v>0</v>
      </c>
      <c r="S26" s="16"/>
      <c r="T26" s="13"/>
      <c r="U26" s="14"/>
      <c r="V26" s="16"/>
      <c r="W26" s="13"/>
      <c r="X26" s="13"/>
      <c r="Y26" s="13"/>
      <c r="Z26" s="13"/>
      <c r="AA26" s="17"/>
    </row>
    <row r="27" spans="1:27" ht="24.75" customHeight="1">
      <c r="A27" s="326" t="s">
        <v>41</v>
      </c>
      <c r="B27" s="324" t="s">
        <v>189</v>
      </c>
      <c r="C27" s="340">
        <v>60</v>
      </c>
      <c r="D27" s="342">
        <f t="shared" si="6"/>
        <v>2</v>
      </c>
      <c r="E27" s="13">
        <f t="shared" si="0"/>
        <v>60</v>
      </c>
      <c r="F27" s="17">
        <f t="shared" si="7"/>
        <v>0</v>
      </c>
      <c r="G27" s="301">
        <f t="shared" si="5"/>
        <v>0</v>
      </c>
      <c r="H27" s="354"/>
      <c r="I27" s="13"/>
      <c r="J27" s="17"/>
      <c r="K27" s="350"/>
      <c r="L27" s="13"/>
      <c r="M27" s="13"/>
      <c r="N27" s="13"/>
      <c r="O27" s="13"/>
      <c r="P27" s="14"/>
      <c r="Q27" s="347">
        <f t="shared" si="3"/>
        <v>60</v>
      </c>
      <c r="R27" s="148">
        <f t="shared" si="4"/>
        <v>34</v>
      </c>
      <c r="S27" s="167">
        <v>24</v>
      </c>
      <c r="T27" s="13"/>
      <c r="U27" s="14">
        <v>10</v>
      </c>
      <c r="V27" s="16">
        <v>26</v>
      </c>
      <c r="W27" s="13"/>
      <c r="X27" s="13"/>
      <c r="Y27" s="13"/>
      <c r="Z27" s="13" t="s">
        <v>70</v>
      </c>
      <c r="AA27" s="17"/>
    </row>
    <row r="28" spans="1:27" ht="24.75" customHeight="1">
      <c r="A28" s="326" t="s">
        <v>55</v>
      </c>
      <c r="B28" s="324" t="s">
        <v>176</v>
      </c>
      <c r="C28" s="340">
        <v>315</v>
      </c>
      <c r="D28" s="342">
        <f t="shared" si="6"/>
        <v>5</v>
      </c>
      <c r="E28" s="13">
        <f t="shared" si="0"/>
        <v>150</v>
      </c>
      <c r="F28" s="17">
        <f t="shared" si="7"/>
        <v>60</v>
      </c>
      <c r="G28" s="301">
        <f t="shared" si="5"/>
        <v>32</v>
      </c>
      <c r="H28" s="354">
        <v>18</v>
      </c>
      <c r="I28" s="13"/>
      <c r="J28" s="17">
        <v>14</v>
      </c>
      <c r="K28" s="350">
        <v>28</v>
      </c>
      <c r="L28" s="13"/>
      <c r="M28" s="13"/>
      <c r="N28" s="13"/>
      <c r="O28" s="13"/>
      <c r="P28" s="14" t="s">
        <v>88</v>
      </c>
      <c r="Q28" s="347">
        <f t="shared" si="3"/>
        <v>90</v>
      </c>
      <c r="R28" s="148">
        <f t="shared" si="4"/>
        <v>68</v>
      </c>
      <c r="S28" s="421">
        <v>48</v>
      </c>
      <c r="T28" s="172"/>
      <c r="U28" s="173">
        <v>20</v>
      </c>
      <c r="V28" s="176">
        <v>22</v>
      </c>
      <c r="W28" s="172"/>
      <c r="X28" s="172"/>
      <c r="Y28" s="172"/>
      <c r="Z28" s="172"/>
      <c r="AA28" s="184" t="s">
        <v>67</v>
      </c>
    </row>
    <row r="29" spans="1:27" ht="24.75" customHeight="1" thickBot="1">
      <c r="A29" s="326" t="s">
        <v>56</v>
      </c>
      <c r="B29" s="324" t="s">
        <v>190</v>
      </c>
      <c r="C29" s="340">
        <v>60</v>
      </c>
      <c r="D29" s="410">
        <f t="shared" si="6"/>
        <v>2</v>
      </c>
      <c r="E29" s="95">
        <f t="shared" si="0"/>
        <v>60</v>
      </c>
      <c r="F29" s="99">
        <f t="shared" si="7"/>
        <v>60</v>
      </c>
      <c r="G29" s="301">
        <f t="shared" si="5"/>
        <v>32</v>
      </c>
      <c r="H29" s="354">
        <v>16</v>
      </c>
      <c r="I29" s="13"/>
      <c r="J29" s="17">
        <v>16</v>
      </c>
      <c r="K29" s="350">
        <v>28</v>
      </c>
      <c r="L29" s="13"/>
      <c r="M29" s="13"/>
      <c r="N29" s="13"/>
      <c r="O29" s="13"/>
      <c r="P29" s="14" t="s">
        <v>67</v>
      </c>
      <c r="Q29" s="411">
        <f t="shared" si="3"/>
        <v>0</v>
      </c>
      <c r="R29" s="149">
        <f t="shared" si="4"/>
        <v>0</v>
      </c>
      <c r="S29" s="290"/>
      <c r="T29" s="95"/>
      <c r="U29" s="96"/>
      <c r="V29" s="98"/>
      <c r="W29" s="95"/>
      <c r="X29" s="95"/>
      <c r="Y29" s="95"/>
      <c r="Z29" s="95"/>
      <c r="AA29" s="99"/>
    </row>
    <row r="30" spans="1:27" ht="24.75" customHeight="1" thickBot="1">
      <c r="A30" s="215" t="s">
        <v>57</v>
      </c>
      <c r="B30" s="216" t="s">
        <v>137</v>
      </c>
      <c r="C30" s="217">
        <v>120</v>
      </c>
      <c r="D30" s="218">
        <f t="shared" si="6"/>
        <v>4</v>
      </c>
      <c r="E30" s="219">
        <f t="shared" si="0"/>
        <v>120</v>
      </c>
      <c r="F30" s="227">
        <f t="shared" si="7"/>
        <v>0</v>
      </c>
      <c r="G30" s="284">
        <f t="shared" si="5"/>
        <v>0</v>
      </c>
      <c r="H30" s="222"/>
      <c r="I30" s="219"/>
      <c r="J30" s="227"/>
      <c r="K30" s="377"/>
      <c r="L30" s="219"/>
      <c r="M30" s="219"/>
      <c r="N30" s="219"/>
      <c r="O30" s="219"/>
      <c r="P30" s="220"/>
      <c r="Q30" s="378">
        <f>V30+W30+X30+Y30+R30</f>
        <v>120</v>
      </c>
      <c r="R30" s="379">
        <f t="shared" si="4"/>
        <v>68</v>
      </c>
      <c r="S30" s="222">
        <v>38</v>
      </c>
      <c r="T30" s="224"/>
      <c r="U30" s="225">
        <v>30</v>
      </c>
      <c r="V30" s="226">
        <v>52</v>
      </c>
      <c r="W30" s="219"/>
      <c r="X30" s="219"/>
      <c r="Y30" s="219"/>
      <c r="Z30" s="219"/>
      <c r="AA30" s="227" t="s">
        <v>67</v>
      </c>
    </row>
    <row r="31" spans="1:27" s="239" customFormat="1" ht="24.75" customHeight="1" thickBot="1">
      <c r="A31" s="399" t="s">
        <v>143</v>
      </c>
      <c r="B31" s="400" t="s">
        <v>100</v>
      </c>
      <c r="C31" s="401">
        <v>315</v>
      </c>
      <c r="D31" s="402">
        <f t="shared" si="6"/>
        <v>4.5</v>
      </c>
      <c r="E31" s="403">
        <f t="shared" si="0"/>
        <v>135</v>
      </c>
      <c r="F31" s="404">
        <f t="shared" si="7"/>
        <v>0</v>
      </c>
      <c r="G31" s="413">
        <f t="shared" si="5"/>
        <v>0</v>
      </c>
      <c r="H31" s="402"/>
      <c r="I31" s="403"/>
      <c r="J31" s="394"/>
      <c r="K31" s="402"/>
      <c r="L31" s="403"/>
      <c r="M31" s="403"/>
      <c r="N31" s="403"/>
      <c r="O31" s="403"/>
      <c r="P31" s="404"/>
      <c r="Q31" s="406">
        <f>V31+X31+Y31+R31</f>
        <v>135</v>
      </c>
      <c r="R31" s="407">
        <f t="shared" si="4"/>
        <v>90</v>
      </c>
      <c r="S31" s="408"/>
      <c r="T31" s="403"/>
      <c r="U31" s="404">
        <f>30*3</f>
        <v>90</v>
      </c>
      <c r="V31" s="408">
        <f>15*3</f>
        <v>45</v>
      </c>
      <c r="W31" s="403"/>
      <c r="X31" s="403"/>
      <c r="Y31" s="403"/>
      <c r="Z31" s="403"/>
      <c r="AA31" s="394" t="s">
        <v>67</v>
      </c>
    </row>
    <row r="32" spans="1:27" ht="24.75" customHeight="1" thickBot="1">
      <c r="A32" s="240"/>
      <c r="B32" s="241" t="s">
        <v>42</v>
      </c>
      <c r="C32" s="39">
        <f aca="true" t="shared" si="8" ref="C32:N32">SUM(C14:C30)</f>
        <v>2498</v>
      </c>
      <c r="D32" s="39">
        <f t="shared" si="8"/>
        <v>37</v>
      </c>
      <c r="E32" s="39">
        <f t="shared" si="8"/>
        <v>1805</v>
      </c>
      <c r="F32" s="39">
        <f t="shared" si="8"/>
        <v>1016</v>
      </c>
      <c r="G32" s="39">
        <f t="shared" si="8"/>
        <v>560</v>
      </c>
      <c r="H32" s="39">
        <f t="shared" si="8"/>
        <v>418</v>
      </c>
      <c r="I32" s="39">
        <f t="shared" si="8"/>
        <v>0</v>
      </c>
      <c r="J32" s="39">
        <f t="shared" si="8"/>
        <v>142</v>
      </c>
      <c r="K32" s="39">
        <f t="shared" si="8"/>
        <v>456</v>
      </c>
      <c r="L32" s="39">
        <f t="shared" si="8"/>
        <v>0</v>
      </c>
      <c r="M32" s="39">
        <f t="shared" si="8"/>
        <v>0</v>
      </c>
      <c r="N32" s="39">
        <f t="shared" si="8"/>
        <v>0</v>
      </c>
      <c r="O32" s="39">
        <v>1</v>
      </c>
      <c r="P32" s="39">
        <v>5</v>
      </c>
      <c r="Q32" s="39">
        <f>SUM(Q14:Q31)</f>
        <v>924</v>
      </c>
      <c r="R32" s="329">
        <f>SUM(R14:R30)</f>
        <v>596</v>
      </c>
      <c r="S32" s="329">
        <f>SUM(S14:S30)</f>
        <v>486</v>
      </c>
      <c r="T32" s="329">
        <f>SUM(T14:T30)</f>
        <v>0</v>
      </c>
      <c r="U32" s="329">
        <f>SUM(U14:U30)</f>
        <v>110</v>
      </c>
      <c r="V32" s="329">
        <f>SUM(V14:V30)</f>
        <v>126</v>
      </c>
      <c r="W32" s="329">
        <v>0</v>
      </c>
      <c r="X32" s="329">
        <f>SUM(X14:X30)</f>
        <v>67</v>
      </c>
      <c r="Y32" s="329">
        <f>SUM(Y14:Y30)</f>
        <v>0</v>
      </c>
      <c r="Z32" s="329">
        <v>4</v>
      </c>
      <c r="AA32" s="329">
        <v>4</v>
      </c>
    </row>
    <row r="33" spans="1:27" ht="24.75" customHeight="1" thickBot="1">
      <c r="A33" s="589"/>
      <c r="B33" s="384" t="s">
        <v>43</v>
      </c>
      <c r="C33" s="46"/>
      <c r="D33" s="387"/>
      <c r="E33" s="47"/>
      <c r="F33" s="388"/>
      <c r="G33" s="389">
        <f>G32/J10</f>
        <v>35</v>
      </c>
      <c r="H33" s="46"/>
      <c r="I33" s="47"/>
      <c r="J33" s="47"/>
      <c r="K33" s="47"/>
      <c r="L33" s="47"/>
      <c r="M33" s="47"/>
      <c r="N33" s="47"/>
      <c r="O33" s="48"/>
      <c r="P33" s="49"/>
      <c r="Q33" s="388"/>
      <c r="R33" s="390">
        <f>SUM(R14:R30)/U10</f>
        <v>35.05882352941177</v>
      </c>
      <c r="S33" s="391"/>
      <c r="T33" s="47"/>
      <c r="U33" s="47"/>
      <c r="V33" s="47"/>
      <c r="W33" s="47"/>
      <c r="X33" s="47"/>
      <c r="Y33" s="47"/>
      <c r="Z33" s="48"/>
      <c r="AA33" s="49"/>
    </row>
    <row r="34" spans="1:27" ht="24.75" customHeight="1" thickBot="1">
      <c r="A34" s="590"/>
      <c r="B34" s="385" t="s">
        <v>44</v>
      </c>
      <c r="C34" s="57"/>
      <c r="D34" s="54"/>
      <c r="E34" s="43"/>
      <c r="F34" s="55"/>
      <c r="G34" s="56"/>
      <c r="H34" s="57"/>
      <c r="I34" s="43"/>
      <c r="J34" s="43"/>
      <c r="K34" s="43"/>
      <c r="L34" s="43"/>
      <c r="M34" s="43"/>
      <c r="N34" s="58"/>
      <c r="O34" s="39">
        <v>1</v>
      </c>
      <c r="P34" s="59"/>
      <c r="Q34" s="60"/>
      <c r="R34" s="61"/>
      <c r="S34" s="62"/>
      <c r="T34" s="62"/>
      <c r="U34" s="62"/>
      <c r="V34" s="62"/>
      <c r="W34" s="62"/>
      <c r="X34" s="62"/>
      <c r="Y34" s="58"/>
      <c r="Z34" s="39">
        <v>4</v>
      </c>
      <c r="AA34" s="144"/>
    </row>
    <row r="35" spans="1:27" ht="24.75" customHeight="1" thickBot="1">
      <c r="A35" s="590"/>
      <c r="B35" s="385" t="s">
        <v>45</v>
      </c>
      <c r="C35" s="57"/>
      <c r="D35" s="54"/>
      <c r="E35" s="43"/>
      <c r="F35" s="55"/>
      <c r="G35" s="58"/>
      <c r="H35" s="57"/>
      <c r="I35" s="43"/>
      <c r="J35" s="43"/>
      <c r="K35" s="43"/>
      <c r="L35" s="63"/>
      <c r="M35" s="43"/>
      <c r="N35" s="62"/>
      <c r="O35" s="56"/>
      <c r="P35" s="39">
        <v>5</v>
      </c>
      <c r="Q35" s="60"/>
      <c r="R35" s="62"/>
      <c r="S35" s="62"/>
      <c r="T35" s="62"/>
      <c r="U35" s="62"/>
      <c r="V35" s="62"/>
      <c r="W35" s="64"/>
      <c r="X35" s="62"/>
      <c r="Y35" s="62"/>
      <c r="Z35" s="56"/>
      <c r="AA35" s="39">
        <v>5</v>
      </c>
    </row>
    <row r="36" spans="1:27" ht="24.75" customHeight="1" thickBot="1">
      <c r="A36" s="590"/>
      <c r="B36" s="386" t="s">
        <v>46</v>
      </c>
      <c r="C36" s="68"/>
      <c r="D36" s="70"/>
      <c r="E36" s="69"/>
      <c r="F36" s="71"/>
      <c r="G36" s="70"/>
      <c r="H36" s="68"/>
      <c r="I36" s="69"/>
      <c r="J36" s="69"/>
      <c r="K36" s="70"/>
      <c r="L36" s="39">
        <v>0</v>
      </c>
      <c r="M36" s="71"/>
      <c r="N36" s="72"/>
      <c r="O36" s="72"/>
      <c r="P36" s="73"/>
      <c r="Q36" s="392"/>
      <c r="R36" s="72"/>
      <c r="S36" s="72"/>
      <c r="T36" s="72"/>
      <c r="U36" s="72"/>
      <c r="V36" s="393"/>
      <c r="W36" s="39">
        <v>0</v>
      </c>
      <c r="X36" s="71"/>
      <c r="Y36" s="69"/>
      <c r="Z36" s="72"/>
      <c r="AA36" s="73"/>
    </row>
    <row r="37" spans="1:27" ht="24.75" customHeight="1" thickBot="1">
      <c r="A37" s="591"/>
      <c r="B37" s="137" t="s">
        <v>47</v>
      </c>
      <c r="C37" s="77">
        <f>SUM(C33:C36)</f>
        <v>0</v>
      </c>
      <c r="D37" s="77">
        <f aca="true" t="shared" si="9" ref="D37:AA37">SUM(D33:D36)</f>
        <v>0</v>
      </c>
      <c r="E37" s="77">
        <f t="shared" si="9"/>
        <v>0</v>
      </c>
      <c r="F37" s="79">
        <f t="shared" si="9"/>
        <v>0</v>
      </c>
      <c r="G37" s="390">
        <f>SUM(G33:G36)</f>
        <v>35</v>
      </c>
      <c r="H37" s="38">
        <f t="shared" si="9"/>
        <v>0</v>
      </c>
      <c r="I37" s="31">
        <f t="shared" si="9"/>
        <v>0</v>
      </c>
      <c r="J37" s="31">
        <f t="shared" si="9"/>
        <v>0</v>
      </c>
      <c r="K37" s="32">
        <f t="shared" si="9"/>
        <v>0</v>
      </c>
      <c r="L37" s="39">
        <f t="shared" si="9"/>
        <v>0</v>
      </c>
      <c r="M37" s="38">
        <f t="shared" si="9"/>
        <v>0</v>
      </c>
      <c r="N37" s="31">
        <f t="shared" si="9"/>
        <v>0</v>
      </c>
      <c r="O37" s="31">
        <f t="shared" si="9"/>
        <v>1</v>
      </c>
      <c r="P37" s="31">
        <f t="shared" si="9"/>
        <v>5</v>
      </c>
      <c r="Q37" s="79">
        <f t="shared" si="9"/>
        <v>0</v>
      </c>
      <c r="R37" s="390">
        <f t="shared" si="9"/>
        <v>35.05882352941177</v>
      </c>
      <c r="S37" s="243">
        <f t="shared" si="9"/>
        <v>0</v>
      </c>
      <c r="T37" s="77">
        <f t="shared" si="9"/>
        <v>0</v>
      </c>
      <c r="U37" s="77">
        <f t="shared" si="9"/>
        <v>0</v>
      </c>
      <c r="V37" s="79">
        <f t="shared" si="9"/>
        <v>0</v>
      </c>
      <c r="W37" s="39">
        <f t="shared" si="9"/>
        <v>0</v>
      </c>
      <c r="X37" s="243">
        <f t="shared" si="9"/>
        <v>0</v>
      </c>
      <c r="Y37" s="77">
        <f t="shared" si="9"/>
        <v>0</v>
      </c>
      <c r="Z37" s="77">
        <f>SUM(Z33:Z36)</f>
        <v>4</v>
      </c>
      <c r="AA37" s="146">
        <f t="shared" si="9"/>
        <v>5</v>
      </c>
    </row>
    <row r="38" spans="1:27" ht="24.75" customHeight="1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6.25">
      <c r="A41" s="1"/>
      <c r="B41" s="82" t="s">
        <v>60</v>
      </c>
      <c r="C41" s="82"/>
      <c r="D41" s="82"/>
      <c r="E41" s="82"/>
      <c r="F41" s="82"/>
      <c r="G41" s="82"/>
      <c r="H41" s="82"/>
      <c r="I41" s="82"/>
      <c r="J41" s="82"/>
      <c r="K41" s="82" t="s">
        <v>59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86"/>
      <c r="AA41" s="86"/>
    </row>
    <row r="42" spans="1:27" ht="26.25">
      <c r="A42" s="87"/>
      <c r="B42" s="592"/>
      <c r="C42" s="592"/>
      <c r="D42" s="592"/>
      <c r="E42" s="592"/>
      <c r="F42" s="592"/>
      <c r="G42" s="592"/>
      <c r="H42" s="592"/>
      <c r="I42" s="592"/>
      <c r="J42" s="592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49</v>
      </c>
      <c r="U42" s="91" t="s">
        <v>50</v>
      </c>
      <c r="V42" s="91"/>
      <c r="W42" s="91"/>
      <c r="X42" s="90"/>
      <c r="Y42" s="90"/>
      <c r="Z42" s="92"/>
      <c r="AA42" s="92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/>
      <c r="L43" s="82"/>
      <c r="M43" s="82"/>
      <c r="N43" s="82"/>
      <c r="O43" s="82"/>
      <c r="P43" s="82"/>
      <c r="Q43" s="82"/>
      <c r="R43" s="82"/>
      <c r="S43" s="82"/>
      <c r="T43" s="84"/>
      <c r="U43" s="84"/>
      <c r="V43" s="84"/>
      <c r="W43" s="84"/>
      <c r="X43" s="93"/>
      <c r="Y43" s="93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2" t="s">
        <v>51</v>
      </c>
      <c r="L44" s="82"/>
      <c r="M44" s="82"/>
      <c r="N44" s="82"/>
      <c r="O44" s="82"/>
      <c r="P44" s="82"/>
      <c r="Q44" s="82"/>
      <c r="R44" s="83"/>
      <c r="S44" s="83"/>
      <c r="T44" s="84"/>
      <c r="U44" s="85"/>
      <c r="V44" s="85"/>
      <c r="W44" s="85"/>
      <c r="X44" s="85"/>
      <c r="Y44" s="86"/>
      <c r="Z44" s="94"/>
      <c r="AA44" s="94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 t="s">
        <v>48</v>
      </c>
      <c r="S45" s="89"/>
      <c r="T45" s="90" t="s">
        <v>52</v>
      </c>
      <c r="U45" s="91" t="s">
        <v>50</v>
      </c>
      <c r="V45" s="91"/>
      <c r="W45" s="91"/>
      <c r="X45" s="90"/>
      <c r="Y45" s="90"/>
      <c r="Z45" s="94"/>
      <c r="AA45" s="94"/>
    </row>
  </sheetData>
  <sheetProtection/>
  <mergeCells count="42">
    <mergeCell ref="A33:A37"/>
    <mergeCell ref="B42:J42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5"/>
  <sheetViews>
    <sheetView zoomScale="55" zoomScaleNormal="55" zoomScalePageLayoutView="0" workbookViewId="0" topLeftCell="A17">
      <selection activeCell="J32" sqref="J32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238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339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261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62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53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335" t="s">
        <v>28</v>
      </c>
      <c r="B14" s="153" t="s">
        <v>102</v>
      </c>
      <c r="C14" s="339">
        <v>164</v>
      </c>
      <c r="D14" s="341">
        <v>0</v>
      </c>
      <c r="E14" s="7">
        <f aca="true" t="shared" si="0" ref="E14:E31">F14+Q14</f>
        <v>86</v>
      </c>
      <c r="F14" s="11">
        <f aca="true" t="shared" si="1" ref="F14:F21">G14+K14+N14+M14</f>
        <v>32</v>
      </c>
      <c r="G14" s="259">
        <f aca="true" t="shared" si="2" ref="G14:G31">H14+I14+J14</f>
        <v>32</v>
      </c>
      <c r="H14" s="349">
        <v>32</v>
      </c>
      <c r="I14" s="7"/>
      <c r="J14" s="11"/>
      <c r="K14" s="349"/>
      <c r="L14" s="7"/>
      <c r="M14" s="7"/>
      <c r="N14" s="7"/>
      <c r="O14" s="7"/>
      <c r="P14" s="8"/>
      <c r="Q14" s="346">
        <f aca="true" t="shared" si="3" ref="Q14:Q29">V14+X14+Y14+R14</f>
        <v>54</v>
      </c>
      <c r="R14" s="147">
        <f aca="true" t="shared" si="4" ref="R14:R31">S14+T14+U14</f>
        <v>34</v>
      </c>
      <c r="S14" s="10">
        <v>34</v>
      </c>
      <c r="T14" s="7"/>
      <c r="U14" s="8"/>
      <c r="V14" s="10"/>
      <c r="W14" s="7"/>
      <c r="X14" s="7">
        <v>20</v>
      </c>
      <c r="Y14" s="7"/>
      <c r="Z14" s="7" t="s">
        <v>138</v>
      </c>
      <c r="AA14" s="11"/>
    </row>
    <row r="15" spans="1:27" ht="18" customHeight="1">
      <c r="A15" s="409" t="s">
        <v>29</v>
      </c>
      <c r="B15" s="154" t="s">
        <v>103</v>
      </c>
      <c r="C15" s="358">
        <v>144</v>
      </c>
      <c r="D15" s="342">
        <v>0</v>
      </c>
      <c r="E15" s="13">
        <f t="shared" si="0"/>
        <v>66</v>
      </c>
      <c r="F15" s="17">
        <f t="shared" si="1"/>
        <v>32</v>
      </c>
      <c r="G15" s="301">
        <f t="shared" si="2"/>
        <v>32</v>
      </c>
      <c r="H15" s="174">
        <v>32</v>
      </c>
      <c r="I15" s="110"/>
      <c r="J15" s="114"/>
      <c r="K15" s="174"/>
      <c r="L15" s="110"/>
      <c r="M15" s="110"/>
      <c r="N15" s="110"/>
      <c r="O15" s="110"/>
      <c r="P15" s="111"/>
      <c r="Q15" s="347">
        <f t="shared" si="3"/>
        <v>34</v>
      </c>
      <c r="R15" s="148">
        <f t="shared" si="4"/>
        <v>34</v>
      </c>
      <c r="S15" s="113">
        <v>34</v>
      </c>
      <c r="T15" s="110"/>
      <c r="U15" s="111"/>
      <c r="V15" s="113"/>
      <c r="W15" s="110"/>
      <c r="X15" s="110"/>
      <c r="Y15" s="110"/>
      <c r="Z15" s="110"/>
      <c r="AA15" s="114"/>
    </row>
    <row r="16" spans="1:27" ht="20.25">
      <c r="A16" s="409" t="s">
        <v>30</v>
      </c>
      <c r="B16" s="154" t="s">
        <v>139</v>
      </c>
      <c r="C16" s="358">
        <v>144</v>
      </c>
      <c r="D16" s="342">
        <v>0</v>
      </c>
      <c r="E16" s="13">
        <f t="shared" si="0"/>
        <v>66</v>
      </c>
      <c r="F16" s="17">
        <f t="shared" si="1"/>
        <v>32</v>
      </c>
      <c r="G16" s="301">
        <f t="shared" si="2"/>
        <v>32</v>
      </c>
      <c r="H16" s="174">
        <v>32</v>
      </c>
      <c r="I16" s="110"/>
      <c r="J16" s="114"/>
      <c r="K16" s="174"/>
      <c r="L16" s="110"/>
      <c r="M16" s="110"/>
      <c r="N16" s="110"/>
      <c r="O16" s="110"/>
      <c r="P16" s="111"/>
      <c r="Q16" s="347">
        <f t="shared" si="3"/>
        <v>34</v>
      </c>
      <c r="R16" s="148">
        <f t="shared" si="4"/>
        <v>34</v>
      </c>
      <c r="S16" s="113">
        <v>34</v>
      </c>
      <c r="T16" s="110"/>
      <c r="U16" s="111"/>
      <c r="V16" s="113"/>
      <c r="W16" s="110"/>
      <c r="X16" s="110"/>
      <c r="Y16" s="110"/>
      <c r="Z16" s="110"/>
      <c r="AA16" s="114"/>
    </row>
    <row r="17" spans="1:27" ht="20.25">
      <c r="A17" s="409" t="s">
        <v>31</v>
      </c>
      <c r="B17" s="154" t="s">
        <v>106</v>
      </c>
      <c r="C17" s="358">
        <v>144</v>
      </c>
      <c r="D17" s="342">
        <v>0</v>
      </c>
      <c r="E17" s="13">
        <f t="shared" si="0"/>
        <v>86</v>
      </c>
      <c r="F17" s="17">
        <f t="shared" si="1"/>
        <v>32</v>
      </c>
      <c r="G17" s="301">
        <f t="shared" si="2"/>
        <v>32</v>
      </c>
      <c r="H17" s="174">
        <v>32</v>
      </c>
      <c r="I17" s="110"/>
      <c r="J17" s="114"/>
      <c r="K17" s="174"/>
      <c r="L17" s="110"/>
      <c r="M17" s="110"/>
      <c r="N17" s="110"/>
      <c r="O17" s="110"/>
      <c r="P17" s="111"/>
      <c r="Q17" s="347">
        <f t="shared" si="3"/>
        <v>54</v>
      </c>
      <c r="R17" s="148">
        <f t="shared" si="4"/>
        <v>34</v>
      </c>
      <c r="S17" s="113">
        <v>34</v>
      </c>
      <c r="T17" s="110"/>
      <c r="U17" s="111"/>
      <c r="V17" s="113"/>
      <c r="W17" s="110"/>
      <c r="X17" s="110">
        <v>20</v>
      </c>
      <c r="Y17" s="110"/>
      <c r="Z17" s="110" t="s">
        <v>138</v>
      </c>
      <c r="AA17" s="114"/>
    </row>
    <row r="18" spans="1:27" ht="20.25">
      <c r="A18" s="409" t="s">
        <v>32</v>
      </c>
      <c r="B18" s="154" t="s">
        <v>110</v>
      </c>
      <c r="C18" s="358">
        <v>242</v>
      </c>
      <c r="D18" s="342">
        <v>0</v>
      </c>
      <c r="E18" s="13">
        <f t="shared" si="0"/>
        <v>120</v>
      </c>
      <c r="F18" s="17">
        <f t="shared" si="1"/>
        <v>32</v>
      </c>
      <c r="G18" s="301">
        <f t="shared" si="2"/>
        <v>32</v>
      </c>
      <c r="H18" s="174">
        <f>32</f>
        <v>32</v>
      </c>
      <c r="I18" s="110"/>
      <c r="J18" s="114"/>
      <c r="K18" s="174"/>
      <c r="L18" s="110"/>
      <c r="M18" s="110"/>
      <c r="N18" s="110"/>
      <c r="O18" s="110"/>
      <c r="P18" s="111"/>
      <c r="Q18" s="347">
        <f t="shared" si="3"/>
        <v>88</v>
      </c>
      <c r="R18" s="148">
        <f t="shared" si="4"/>
        <v>68</v>
      </c>
      <c r="S18" s="113">
        <f>4*17</f>
        <v>68</v>
      </c>
      <c r="T18" s="110"/>
      <c r="U18" s="111"/>
      <c r="V18" s="113"/>
      <c r="W18" s="110"/>
      <c r="X18" s="110">
        <v>20</v>
      </c>
      <c r="Y18" s="110"/>
      <c r="Z18" s="110" t="s">
        <v>138</v>
      </c>
      <c r="AA18" s="114"/>
    </row>
    <row r="19" spans="1:27" ht="20.25">
      <c r="A19" s="409" t="s">
        <v>33</v>
      </c>
      <c r="B19" s="154" t="s">
        <v>111</v>
      </c>
      <c r="C19" s="358">
        <v>216</v>
      </c>
      <c r="D19" s="342">
        <v>0</v>
      </c>
      <c r="E19" s="13">
        <f t="shared" si="0"/>
        <v>100</v>
      </c>
      <c r="F19" s="17">
        <f t="shared" si="1"/>
        <v>48</v>
      </c>
      <c r="G19" s="301">
        <f t="shared" si="2"/>
        <v>48</v>
      </c>
      <c r="H19" s="174">
        <f>3*16</f>
        <v>48</v>
      </c>
      <c r="I19" s="110"/>
      <c r="J19" s="114"/>
      <c r="K19" s="174"/>
      <c r="L19" s="110"/>
      <c r="M19" s="110"/>
      <c r="N19" s="110"/>
      <c r="O19" s="110"/>
      <c r="P19" s="111"/>
      <c r="Q19" s="347">
        <f t="shared" si="3"/>
        <v>52</v>
      </c>
      <c r="R19" s="148">
        <f t="shared" si="4"/>
        <v>52</v>
      </c>
      <c r="S19" s="113">
        <v>52</v>
      </c>
      <c r="T19" s="110"/>
      <c r="U19" s="111"/>
      <c r="V19" s="113"/>
      <c r="W19" s="110"/>
      <c r="X19" s="110"/>
      <c r="Y19" s="110"/>
      <c r="Z19" s="110"/>
      <c r="AA19" s="114"/>
    </row>
    <row r="20" spans="1:27" ht="20.25">
      <c r="A20" s="326" t="s">
        <v>34</v>
      </c>
      <c r="B20" s="154" t="s">
        <v>140</v>
      </c>
      <c r="C20" s="358">
        <v>68</v>
      </c>
      <c r="D20" s="342">
        <v>0</v>
      </c>
      <c r="E20" s="13">
        <f t="shared" si="0"/>
        <v>68</v>
      </c>
      <c r="F20" s="17">
        <f t="shared" si="1"/>
        <v>32</v>
      </c>
      <c r="G20" s="301">
        <f t="shared" si="2"/>
        <v>32</v>
      </c>
      <c r="H20" s="174">
        <v>32</v>
      </c>
      <c r="I20" s="110"/>
      <c r="J20" s="114"/>
      <c r="K20" s="174"/>
      <c r="L20" s="110"/>
      <c r="M20" s="110"/>
      <c r="N20" s="110"/>
      <c r="O20" s="110"/>
      <c r="P20" s="111"/>
      <c r="Q20" s="347">
        <f t="shared" si="3"/>
        <v>36</v>
      </c>
      <c r="R20" s="148">
        <f t="shared" si="4"/>
        <v>34</v>
      </c>
      <c r="S20" s="113">
        <v>34</v>
      </c>
      <c r="T20" s="110"/>
      <c r="U20" s="111"/>
      <c r="V20" s="113"/>
      <c r="W20" s="110"/>
      <c r="X20" s="110">
        <v>2</v>
      </c>
      <c r="Y20" s="110"/>
      <c r="Z20" s="110"/>
      <c r="AA20" s="114"/>
    </row>
    <row r="21" spans="1:27" ht="20.25">
      <c r="A21" s="362" t="s">
        <v>35</v>
      </c>
      <c r="B21" s="266" t="s">
        <v>116</v>
      </c>
      <c r="C21" s="466">
        <v>144</v>
      </c>
      <c r="D21" s="342">
        <v>0</v>
      </c>
      <c r="E21" s="13">
        <f t="shared" si="0"/>
        <v>32</v>
      </c>
      <c r="F21" s="184">
        <f t="shared" si="1"/>
        <v>32</v>
      </c>
      <c r="G21" s="303">
        <f t="shared" si="2"/>
        <v>32</v>
      </c>
      <c r="H21" s="467">
        <v>32</v>
      </c>
      <c r="I21" s="313"/>
      <c r="J21" s="314"/>
      <c r="K21" s="467"/>
      <c r="L21" s="313"/>
      <c r="M21" s="313"/>
      <c r="N21" s="313"/>
      <c r="O21" s="313"/>
      <c r="P21" s="269"/>
      <c r="Q21" s="347">
        <f t="shared" si="3"/>
        <v>0</v>
      </c>
      <c r="R21" s="148">
        <f t="shared" si="4"/>
        <v>0</v>
      </c>
      <c r="S21" s="113"/>
      <c r="T21" s="313"/>
      <c r="U21" s="269"/>
      <c r="V21" s="309"/>
      <c r="W21" s="313"/>
      <c r="X21" s="313"/>
      <c r="Y21" s="313"/>
      <c r="Z21" s="313"/>
      <c r="AA21" s="314"/>
    </row>
    <row r="22" spans="1:27" ht="21" thickBot="1">
      <c r="A22" s="420" t="s">
        <v>36</v>
      </c>
      <c r="B22" s="319" t="s">
        <v>115</v>
      </c>
      <c r="C22" s="418">
        <v>220</v>
      </c>
      <c r="D22" s="410">
        <v>0</v>
      </c>
      <c r="E22" s="95">
        <f t="shared" si="0"/>
        <v>98</v>
      </c>
      <c r="F22" s="99">
        <f>G22+K22+N22+M22</f>
        <v>48</v>
      </c>
      <c r="G22" s="302">
        <f t="shared" si="2"/>
        <v>48</v>
      </c>
      <c r="H22" s="419">
        <v>48</v>
      </c>
      <c r="I22" s="95"/>
      <c r="J22" s="99"/>
      <c r="K22" s="419"/>
      <c r="L22" s="95"/>
      <c r="M22" s="95"/>
      <c r="N22" s="95"/>
      <c r="O22" s="95"/>
      <c r="P22" s="96"/>
      <c r="Q22" s="411">
        <f t="shared" si="3"/>
        <v>50</v>
      </c>
      <c r="R22" s="149">
        <f t="shared" si="4"/>
        <v>50</v>
      </c>
      <c r="S22" s="98">
        <v>50</v>
      </c>
      <c r="T22" s="95"/>
      <c r="U22" s="96"/>
      <c r="V22" s="98"/>
      <c r="W22" s="95"/>
      <c r="X22" s="95"/>
      <c r="Y22" s="95"/>
      <c r="Z22" s="95"/>
      <c r="AA22" s="99"/>
    </row>
    <row r="23" spans="1:27" ht="20.25">
      <c r="A23" s="409" t="s">
        <v>37</v>
      </c>
      <c r="B23" s="414" t="s">
        <v>207</v>
      </c>
      <c r="C23" s="358">
        <v>165</v>
      </c>
      <c r="D23" s="415">
        <f>E23/30</f>
        <v>5.5</v>
      </c>
      <c r="E23" s="110">
        <f t="shared" si="0"/>
        <v>165</v>
      </c>
      <c r="F23" s="114">
        <f>G23+K23+N23+M23</f>
        <v>90</v>
      </c>
      <c r="G23" s="261">
        <f t="shared" si="2"/>
        <v>32</v>
      </c>
      <c r="H23" s="174">
        <v>8</v>
      </c>
      <c r="I23" s="110"/>
      <c r="J23" s="114">
        <f>32-8</f>
        <v>24</v>
      </c>
      <c r="K23" s="174">
        <v>58</v>
      </c>
      <c r="L23" s="110"/>
      <c r="M23" s="110"/>
      <c r="N23" s="110"/>
      <c r="O23" s="110"/>
      <c r="P23" s="111" t="s">
        <v>262</v>
      </c>
      <c r="Q23" s="416">
        <f t="shared" si="3"/>
        <v>75</v>
      </c>
      <c r="R23" s="417">
        <f t="shared" si="4"/>
        <v>34</v>
      </c>
      <c r="S23" s="113">
        <v>8</v>
      </c>
      <c r="T23" s="110"/>
      <c r="U23" s="111">
        <f>34-8</f>
        <v>26</v>
      </c>
      <c r="V23" s="113">
        <f>99-58</f>
        <v>41</v>
      </c>
      <c r="W23" s="110"/>
      <c r="X23" s="110"/>
      <c r="Y23" s="110"/>
      <c r="Z23" s="110"/>
      <c r="AA23" s="114" t="s">
        <v>67</v>
      </c>
    </row>
    <row r="24" spans="1:27" ht="20.25">
      <c r="A24" s="326" t="s">
        <v>38</v>
      </c>
      <c r="B24" s="323" t="s">
        <v>263</v>
      </c>
      <c r="C24" s="340">
        <v>60</v>
      </c>
      <c r="D24" s="342">
        <f aca="true" t="shared" si="5" ref="D24:D31">E24/30</f>
        <v>2</v>
      </c>
      <c r="E24" s="13">
        <f t="shared" si="0"/>
        <v>60</v>
      </c>
      <c r="F24" s="17">
        <f aca="true" t="shared" si="6" ref="F24:F31">G24+K24+N24+M24</f>
        <v>0</v>
      </c>
      <c r="G24" s="301">
        <f t="shared" si="2"/>
        <v>0</v>
      </c>
      <c r="H24" s="350"/>
      <c r="I24" s="13"/>
      <c r="J24" s="17"/>
      <c r="K24" s="350"/>
      <c r="L24" s="13"/>
      <c r="M24" s="13"/>
      <c r="N24" s="13"/>
      <c r="O24" s="13"/>
      <c r="P24" s="14"/>
      <c r="Q24" s="347">
        <f t="shared" si="3"/>
        <v>60</v>
      </c>
      <c r="R24" s="148">
        <f t="shared" si="4"/>
        <v>34</v>
      </c>
      <c r="S24" s="16">
        <v>18</v>
      </c>
      <c r="T24" s="13"/>
      <c r="U24" s="14">
        <v>16</v>
      </c>
      <c r="V24" s="16">
        <v>26</v>
      </c>
      <c r="W24" s="13"/>
      <c r="X24" s="13"/>
      <c r="Y24" s="13"/>
      <c r="Z24" s="13"/>
      <c r="AA24" s="17" t="s">
        <v>67</v>
      </c>
    </row>
    <row r="25" spans="1:27" ht="20.25">
      <c r="A25" s="326" t="s">
        <v>39</v>
      </c>
      <c r="B25" s="323" t="s">
        <v>264</v>
      </c>
      <c r="C25" s="340">
        <v>90</v>
      </c>
      <c r="D25" s="342">
        <f t="shared" si="5"/>
        <v>3</v>
      </c>
      <c r="E25" s="13">
        <f t="shared" si="0"/>
        <v>90</v>
      </c>
      <c r="F25" s="17">
        <f t="shared" si="6"/>
        <v>90</v>
      </c>
      <c r="G25" s="301">
        <f t="shared" si="2"/>
        <v>64</v>
      </c>
      <c r="H25" s="350">
        <v>44</v>
      </c>
      <c r="I25" s="13"/>
      <c r="J25" s="17">
        <v>20</v>
      </c>
      <c r="K25" s="350">
        <v>26</v>
      </c>
      <c r="L25" s="13"/>
      <c r="M25" s="13"/>
      <c r="N25" s="13"/>
      <c r="O25" s="13"/>
      <c r="P25" s="14" t="s">
        <v>67</v>
      </c>
      <c r="Q25" s="347">
        <f t="shared" si="3"/>
        <v>0</v>
      </c>
      <c r="R25" s="148">
        <f t="shared" si="4"/>
        <v>0</v>
      </c>
      <c r="S25" s="16"/>
      <c r="T25" s="13"/>
      <c r="U25" s="14"/>
      <c r="V25" s="16"/>
      <c r="W25" s="13"/>
      <c r="X25" s="13"/>
      <c r="Y25" s="13"/>
      <c r="Z25" s="13"/>
      <c r="AA25" s="17"/>
    </row>
    <row r="26" spans="1:27" ht="20.25">
      <c r="A26" s="326" t="s">
        <v>40</v>
      </c>
      <c r="B26" s="323" t="s">
        <v>265</v>
      </c>
      <c r="C26" s="340">
        <v>210</v>
      </c>
      <c r="D26" s="342">
        <f t="shared" si="5"/>
        <v>7</v>
      </c>
      <c r="E26" s="13">
        <f t="shared" si="0"/>
        <v>210</v>
      </c>
      <c r="F26" s="17">
        <f t="shared" si="6"/>
        <v>135</v>
      </c>
      <c r="G26" s="301">
        <f t="shared" si="2"/>
        <v>64</v>
      </c>
      <c r="H26" s="350">
        <f>16+16+8</f>
        <v>40</v>
      </c>
      <c r="I26" s="13"/>
      <c r="J26" s="17">
        <f>16+8</f>
        <v>24</v>
      </c>
      <c r="K26" s="350">
        <f>56+15</f>
        <v>71</v>
      </c>
      <c r="L26" s="13"/>
      <c r="M26" s="13"/>
      <c r="N26" s="13"/>
      <c r="O26" s="13"/>
      <c r="P26" s="14" t="s">
        <v>67</v>
      </c>
      <c r="Q26" s="347">
        <f t="shared" si="3"/>
        <v>75</v>
      </c>
      <c r="R26" s="148">
        <f t="shared" si="4"/>
        <v>34</v>
      </c>
      <c r="S26" s="16">
        <v>18</v>
      </c>
      <c r="T26" s="13"/>
      <c r="U26" s="14">
        <f>34-18</f>
        <v>16</v>
      </c>
      <c r="V26" s="16">
        <f>112-71</f>
        <v>41</v>
      </c>
      <c r="W26" s="13"/>
      <c r="X26" s="13"/>
      <c r="Y26" s="13"/>
      <c r="Z26" s="13"/>
      <c r="AA26" s="17" t="s">
        <v>67</v>
      </c>
    </row>
    <row r="27" spans="1:27" ht="20.25">
      <c r="A27" s="326" t="s">
        <v>40</v>
      </c>
      <c r="B27" s="323" t="s">
        <v>85</v>
      </c>
      <c r="C27" s="340">
        <v>60</v>
      </c>
      <c r="D27" s="342">
        <f t="shared" si="5"/>
        <v>2</v>
      </c>
      <c r="E27" s="13">
        <f t="shared" si="0"/>
        <v>60</v>
      </c>
      <c r="F27" s="17">
        <f t="shared" si="6"/>
        <v>0</v>
      </c>
      <c r="G27" s="301">
        <f t="shared" si="2"/>
        <v>0</v>
      </c>
      <c r="H27" s="350"/>
      <c r="I27" s="13"/>
      <c r="J27" s="17"/>
      <c r="K27" s="350"/>
      <c r="L27" s="13"/>
      <c r="M27" s="13"/>
      <c r="N27" s="13"/>
      <c r="O27" s="13"/>
      <c r="P27" s="14"/>
      <c r="Q27" s="347">
        <f t="shared" si="3"/>
        <v>60</v>
      </c>
      <c r="R27" s="148">
        <f t="shared" si="4"/>
        <v>34</v>
      </c>
      <c r="S27" s="16">
        <v>24</v>
      </c>
      <c r="T27" s="13"/>
      <c r="U27" s="14">
        <v>10</v>
      </c>
      <c r="V27" s="16">
        <v>26</v>
      </c>
      <c r="W27" s="13"/>
      <c r="X27" s="13"/>
      <c r="Y27" s="13"/>
      <c r="Z27" s="13" t="s">
        <v>70</v>
      </c>
      <c r="AA27" s="17"/>
    </row>
    <row r="28" spans="1:27" ht="20.25">
      <c r="A28" s="326" t="s">
        <v>41</v>
      </c>
      <c r="B28" s="324" t="s">
        <v>266</v>
      </c>
      <c r="C28" s="340">
        <v>120</v>
      </c>
      <c r="D28" s="342">
        <f t="shared" si="5"/>
        <v>4</v>
      </c>
      <c r="E28" s="13">
        <f t="shared" si="0"/>
        <v>120</v>
      </c>
      <c r="F28" s="17">
        <f t="shared" si="6"/>
        <v>0</v>
      </c>
      <c r="G28" s="301">
        <f t="shared" si="2"/>
        <v>0</v>
      </c>
      <c r="H28" s="354"/>
      <c r="I28" s="13"/>
      <c r="J28" s="17"/>
      <c r="K28" s="350"/>
      <c r="L28" s="13"/>
      <c r="M28" s="13"/>
      <c r="N28" s="13"/>
      <c r="O28" s="13"/>
      <c r="P28" s="14"/>
      <c r="Q28" s="347">
        <f t="shared" si="3"/>
        <v>120</v>
      </c>
      <c r="R28" s="148">
        <f t="shared" si="4"/>
        <v>68</v>
      </c>
      <c r="S28" s="167">
        <v>34</v>
      </c>
      <c r="T28" s="13"/>
      <c r="U28" s="14">
        <v>34</v>
      </c>
      <c r="V28" s="16">
        <v>52</v>
      </c>
      <c r="W28" s="13"/>
      <c r="X28" s="13"/>
      <c r="Y28" s="13"/>
      <c r="Z28" s="13" t="s">
        <v>70</v>
      </c>
      <c r="AA28" s="17"/>
    </row>
    <row r="29" spans="1:27" ht="21" thickBot="1">
      <c r="A29" s="326" t="s">
        <v>55</v>
      </c>
      <c r="B29" s="324" t="s">
        <v>267</v>
      </c>
      <c r="C29" s="340">
        <v>150</v>
      </c>
      <c r="D29" s="342">
        <f t="shared" si="5"/>
        <v>5</v>
      </c>
      <c r="E29" s="13">
        <f t="shared" si="0"/>
        <v>150</v>
      </c>
      <c r="F29" s="17">
        <f t="shared" si="6"/>
        <v>150</v>
      </c>
      <c r="G29" s="301">
        <f t="shared" si="2"/>
        <v>64</v>
      </c>
      <c r="H29" s="354">
        <v>32</v>
      </c>
      <c r="I29" s="13"/>
      <c r="J29" s="17">
        <v>32</v>
      </c>
      <c r="K29" s="350">
        <v>86</v>
      </c>
      <c r="L29" s="13"/>
      <c r="M29" s="13"/>
      <c r="N29" s="13"/>
      <c r="O29" s="13" t="s">
        <v>70</v>
      </c>
      <c r="P29" s="14"/>
      <c r="Q29" s="347">
        <f t="shared" si="3"/>
        <v>0</v>
      </c>
      <c r="R29" s="148">
        <f t="shared" si="4"/>
        <v>0</v>
      </c>
      <c r="S29" s="421"/>
      <c r="T29" s="172"/>
      <c r="U29" s="173"/>
      <c r="V29" s="176"/>
      <c r="W29" s="172"/>
      <c r="X29" s="172"/>
      <c r="Y29" s="172"/>
      <c r="Z29" s="172"/>
      <c r="AA29" s="184"/>
    </row>
    <row r="30" spans="1:27" ht="21" thickBot="1">
      <c r="A30" s="215" t="s">
        <v>57</v>
      </c>
      <c r="B30" s="216" t="s">
        <v>137</v>
      </c>
      <c r="C30" s="217">
        <v>120</v>
      </c>
      <c r="D30" s="218">
        <f t="shared" si="5"/>
        <v>4</v>
      </c>
      <c r="E30" s="219">
        <f t="shared" si="0"/>
        <v>120</v>
      </c>
      <c r="F30" s="227">
        <f t="shared" si="6"/>
        <v>0</v>
      </c>
      <c r="G30" s="284">
        <f t="shared" si="2"/>
        <v>0</v>
      </c>
      <c r="H30" s="222"/>
      <c r="I30" s="219"/>
      <c r="J30" s="227"/>
      <c r="K30" s="377"/>
      <c r="L30" s="219"/>
      <c r="M30" s="219"/>
      <c r="N30" s="219"/>
      <c r="O30" s="219"/>
      <c r="P30" s="220"/>
      <c r="Q30" s="378">
        <f>V30+W30+X30+Y30+R30</f>
        <v>120</v>
      </c>
      <c r="R30" s="379">
        <f t="shared" si="4"/>
        <v>68</v>
      </c>
      <c r="S30" s="222">
        <v>38</v>
      </c>
      <c r="T30" s="224"/>
      <c r="U30" s="225">
        <v>30</v>
      </c>
      <c r="V30" s="226">
        <v>52</v>
      </c>
      <c r="W30" s="219"/>
      <c r="X30" s="219"/>
      <c r="Y30" s="219"/>
      <c r="Z30" s="219"/>
      <c r="AA30" s="227" t="s">
        <v>67</v>
      </c>
    </row>
    <row r="31" spans="1:27" s="239" customFormat="1" ht="24.75" customHeight="1" thickBot="1">
      <c r="A31" s="399" t="s">
        <v>143</v>
      </c>
      <c r="B31" s="400" t="s">
        <v>100</v>
      </c>
      <c r="C31" s="401">
        <v>330</v>
      </c>
      <c r="D31" s="402">
        <f t="shared" si="5"/>
        <v>4.5</v>
      </c>
      <c r="E31" s="403">
        <f t="shared" si="0"/>
        <v>135</v>
      </c>
      <c r="F31" s="404">
        <f t="shared" si="6"/>
        <v>0</v>
      </c>
      <c r="G31" s="413">
        <f t="shared" si="2"/>
        <v>0</v>
      </c>
      <c r="H31" s="402"/>
      <c r="I31" s="403"/>
      <c r="J31" s="394"/>
      <c r="K31" s="402"/>
      <c r="L31" s="403"/>
      <c r="M31" s="403"/>
      <c r="N31" s="403"/>
      <c r="O31" s="403"/>
      <c r="P31" s="404"/>
      <c r="Q31" s="406">
        <f>V31+X31+Y31+R31</f>
        <v>135</v>
      </c>
      <c r="R31" s="407">
        <f t="shared" si="4"/>
        <v>90</v>
      </c>
      <c r="S31" s="408"/>
      <c r="T31" s="403"/>
      <c r="U31" s="404">
        <f>3*30</f>
        <v>90</v>
      </c>
      <c r="V31" s="408">
        <f>3*15</f>
        <v>45</v>
      </c>
      <c r="W31" s="403"/>
      <c r="X31" s="403"/>
      <c r="Y31" s="403"/>
      <c r="Z31" s="403"/>
      <c r="AA31" s="394" t="s">
        <v>67</v>
      </c>
    </row>
    <row r="32" spans="1:27" ht="24.75" customHeight="1" thickBot="1">
      <c r="A32" s="240"/>
      <c r="B32" s="241" t="s">
        <v>42</v>
      </c>
      <c r="C32" s="39">
        <f>SUM(C14:C31)</f>
        <v>2791</v>
      </c>
      <c r="D32" s="39">
        <f aca="true" t="shared" si="7" ref="D32:N32">SUM(D14:D30)</f>
        <v>32.5</v>
      </c>
      <c r="E32" s="39">
        <f t="shared" si="7"/>
        <v>1697</v>
      </c>
      <c r="F32" s="39">
        <f t="shared" si="7"/>
        <v>785</v>
      </c>
      <c r="G32" s="39">
        <f t="shared" si="7"/>
        <v>544</v>
      </c>
      <c r="H32" s="39">
        <f t="shared" si="7"/>
        <v>444</v>
      </c>
      <c r="I32" s="39">
        <f t="shared" si="7"/>
        <v>0</v>
      </c>
      <c r="J32" s="39">
        <f t="shared" si="7"/>
        <v>100</v>
      </c>
      <c r="K32" s="39">
        <f t="shared" si="7"/>
        <v>241</v>
      </c>
      <c r="L32" s="39">
        <f t="shared" si="7"/>
        <v>0</v>
      </c>
      <c r="M32" s="39">
        <f t="shared" si="7"/>
        <v>0</v>
      </c>
      <c r="N32" s="39">
        <f t="shared" si="7"/>
        <v>0</v>
      </c>
      <c r="O32" s="39">
        <v>1</v>
      </c>
      <c r="P32" s="39">
        <v>3</v>
      </c>
      <c r="Q32" s="39">
        <f>SUM(Q14:Q31)</f>
        <v>1047</v>
      </c>
      <c r="R32" s="432">
        <f>SUM(R14:R30)</f>
        <v>612</v>
      </c>
      <c r="S32" s="432">
        <f>SUM(S14:S30)</f>
        <v>480</v>
      </c>
      <c r="T32" s="432">
        <f>SUM(T14:T30)</f>
        <v>0</v>
      </c>
      <c r="U32" s="432">
        <f>SUM(U14:U30)</f>
        <v>132</v>
      </c>
      <c r="V32" s="432">
        <f>SUM(V14:V30)</f>
        <v>238</v>
      </c>
      <c r="W32" s="432">
        <v>0</v>
      </c>
      <c r="X32" s="432">
        <f>SUM(X14:X30)</f>
        <v>62</v>
      </c>
      <c r="Y32" s="432">
        <f>SUM(Y14:Y30)</f>
        <v>0</v>
      </c>
      <c r="Z32" s="432">
        <v>5</v>
      </c>
      <c r="AA32" s="432">
        <v>4</v>
      </c>
    </row>
    <row r="33" spans="1:27" ht="24.75" customHeight="1" thickBot="1">
      <c r="A33" s="589"/>
      <c r="B33" s="384" t="s">
        <v>43</v>
      </c>
      <c r="C33" s="46"/>
      <c r="D33" s="387"/>
      <c r="E33" s="47"/>
      <c r="F33" s="388"/>
      <c r="G33" s="389">
        <f>G32/J10</f>
        <v>34</v>
      </c>
      <c r="H33" s="46"/>
      <c r="I33" s="47"/>
      <c r="J33" s="47"/>
      <c r="K33" s="47"/>
      <c r="L33" s="47"/>
      <c r="M33" s="47"/>
      <c r="N33" s="47"/>
      <c r="O33" s="48"/>
      <c r="P33" s="49"/>
      <c r="Q33" s="388"/>
      <c r="R33" s="390">
        <f>SUM(R14:R30)/U10</f>
        <v>36</v>
      </c>
      <c r="S33" s="391"/>
      <c r="T33" s="47"/>
      <c r="U33" s="47"/>
      <c r="V33" s="47"/>
      <c r="W33" s="47"/>
      <c r="X33" s="47"/>
      <c r="Y33" s="47"/>
      <c r="Z33" s="48"/>
      <c r="AA33" s="49"/>
    </row>
    <row r="34" spans="1:27" ht="24.75" customHeight="1" thickBot="1">
      <c r="A34" s="590"/>
      <c r="B34" s="385" t="s">
        <v>44</v>
      </c>
      <c r="C34" s="57"/>
      <c r="D34" s="54"/>
      <c r="E34" s="43"/>
      <c r="F34" s="55"/>
      <c r="G34" s="56"/>
      <c r="H34" s="57"/>
      <c r="I34" s="43"/>
      <c r="J34" s="43"/>
      <c r="K34" s="43"/>
      <c r="L34" s="43"/>
      <c r="M34" s="43"/>
      <c r="N34" s="58"/>
      <c r="O34" s="39">
        <v>1</v>
      </c>
      <c r="P34" s="59"/>
      <c r="Q34" s="60"/>
      <c r="R34" s="61"/>
      <c r="S34" s="62"/>
      <c r="T34" s="62"/>
      <c r="U34" s="62"/>
      <c r="V34" s="62"/>
      <c r="W34" s="62"/>
      <c r="X34" s="62"/>
      <c r="Y34" s="58"/>
      <c r="Z34" s="39">
        <v>5</v>
      </c>
      <c r="AA34" s="144"/>
    </row>
    <row r="35" spans="1:27" ht="24.75" customHeight="1" thickBot="1">
      <c r="A35" s="590"/>
      <c r="B35" s="385" t="s">
        <v>45</v>
      </c>
      <c r="C35" s="57"/>
      <c r="D35" s="54"/>
      <c r="E35" s="43"/>
      <c r="F35" s="55"/>
      <c r="G35" s="58"/>
      <c r="H35" s="57"/>
      <c r="I35" s="43"/>
      <c r="J35" s="43"/>
      <c r="K35" s="43"/>
      <c r="L35" s="63"/>
      <c r="M35" s="43"/>
      <c r="N35" s="62"/>
      <c r="O35" s="56"/>
      <c r="P35" s="39">
        <v>3</v>
      </c>
      <c r="Q35" s="60"/>
      <c r="R35" s="62"/>
      <c r="S35" s="62"/>
      <c r="T35" s="62"/>
      <c r="U35" s="62"/>
      <c r="V35" s="62"/>
      <c r="W35" s="64"/>
      <c r="X35" s="62"/>
      <c r="Y35" s="62"/>
      <c r="Z35" s="56"/>
      <c r="AA35" s="39">
        <v>5</v>
      </c>
    </row>
    <row r="36" spans="1:27" ht="24.75" customHeight="1" thickBot="1">
      <c r="A36" s="590"/>
      <c r="B36" s="386" t="s">
        <v>46</v>
      </c>
      <c r="C36" s="68"/>
      <c r="D36" s="70"/>
      <c r="E36" s="69"/>
      <c r="F36" s="71"/>
      <c r="G36" s="70"/>
      <c r="H36" s="68"/>
      <c r="I36" s="69"/>
      <c r="J36" s="69"/>
      <c r="K36" s="70"/>
      <c r="L36" s="39">
        <v>0</v>
      </c>
      <c r="M36" s="71"/>
      <c r="N36" s="72"/>
      <c r="O36" s="72"/>
      <c r="P36" s="73"/>
      <c r="Q36" s="392"/>
      <c r="R36" s="72"/>
      <c r="S36" s="72"/>
      <c r="T36" s="72"/>
      <c r="U36" s="72"/>
      <c r="V36" s="393"/>
      <c r="W36" s="39">
        <v>0</v>
      </c>
      <c r="X36" s="71"/>
      <c r="Y36" s="69"/>
      <c r="Z36" s="72"/>
      <c r="AA36" s="73"/>
    </row>
    <row r="37" spans="1:27" ht="24.75" customHeight="1" thickBot="1">
      <c r="A37" s="591"/>
      <c r="B37" s="137" t="s">
        <v>47</v>
      </c>
      <c r="C37" s="77">
        <f>SUM(C33:C36)</f>
        <v>0</v>
      </c>
      <c r="D37" s="77">
        <f aca="true" t="shared" si="8" ref="D37:AA37">SUM(D33:D36)</f>
        <v>0</v>
      </c>
      <c r="E37" s="77">
        <f t="shared" si="8"/>
        <v>0</v>
      </c>
      <c r="F37" s="79">
        <f t="shared" si="8"/>
        <v>0</v>
      </c>
      <c r="G37" s="390">
        <f>SUM(G33:G36)</f>
        <v>34</v>
      </c>
      <c r="H37" s="38">
        <f t="shared" si="8"/>
        <v>0</v>
      </c>
      <c r="I37" s="31">
        <f t="shared" si="8"/>
        <v>0</v>
      </c>
      <c r="J37" s="31">
        <f t="shared" si="8"/>
        <v>0</v>
      </c>
      <c r="K37" s="32">
        <f t="shared" si="8"/>
        <v>0</v>
      </c>
      <c r="L37" s="39">
        <f t="shared" si="8"/>
        <v>0</v>
      </c>
      <c r="M37" s="38">
        <f t="shared" si="8"/>
        <v>0</v>
      </c>
      <c r="N37" s="31">
        <f t="shared" si="8"/>
        <v>0</v>
      </c>
      <c r="O37" s="31">
        <f t="shared" si="8"/>
        <v>1</v>
      </c>
      <c r="P37" s="31">
        <f t="shared" si="8"/>
        <v>3</v>
      </c>
      <c r="Q37" s="79">
        <f t="shared" si="8"/>
        <v>0</v>
      </c>
      <c r="R37" s="390">
        <f t="shared" si="8"/>
        <v>36</v>
      </c>
      <c r="S37" s="243">
        <f t="shared" si="8"/>
        <v>0</v>
      </c>
      <c r="T37" s="77">
        <f t="shared" si="8"/>
        <v>0</v>
      </c>
      <c r="U37" s="77">
        <f t="shared" si="8"/>
        <v>0</v>
      </c>
      <c r="V37" s="79">
        <f t="shared" si="8"/>
        <v>0</v>
      </c>
      <c r="W37" s="39">
        <f t="shared" si="8"/>
        <v>0</v>
      </c>
      <c r="X37" s="243">
        <f t="shared" si="8"/>
        <v>0</v>
      </c>
      <c r="Y37" s="77">
        <f t="shared" si="8"/>
        <v>0</v>
      </c>
      <c r="Z37" s="77">
        <f>SUM(Z33:Z36)</f>
        <v>5</v>
      </c>
      <c r="AA37" s="146">
        <f t="shared" si="8"/>
        <v>5</v>
      </c>
    </row>
    <row r="38" spans="1:27" ht="24.75" customHeight="1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6.25">
      <c r="A41" s="1"/>
      <c r="B41" s="82" t="s">
        <v>60</v>
      </c>
      <c r="C41" s="82"/>
      <c r="D41" s="82"/>
      <c r="E41" s="82"/>
      <c r="F41" s="82"/>
      <c r="G41" s="82"/>
      <c r="H41" s="82"/>
      <c r="I41" s="82"/>
      <c r="J41" s="82"/>
      <c r="K41" s="82" t="s">
        <v>59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86"/>
      <c r="AA41" s="86"/>
    </row>
    <row r="42" spans="1:27" ht="26.25">
      <c r="A42" s="87"/>
      <c r="B42" s="592"/>
      <c r="C42" s="592"/>
      <c r="D42" s="592"/>
      <c r="E42" s="592"/>
      <c r="F42" s="592"/>
      <c r="G42" s="592"/>
      <c r="H42" s="592"/>
      <c r="I42" s="592"/>
      <c r="J42" s="592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49</v>
      </c>
      <c r="U42" s="91" t="s">
        <v>50</v>
      </c>
      <c r="V42" s="91"/>
      <c r="W42" s="91"/>
      <c r="X42" s="90"/>
      <c r="Y42" s="90"/>
      <c r="Z42" s="92"/>
      <c r="AA42" s="92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/>
      <c r="L43" s="82"/>
      <c r="M43" s="82"/>
      <c r="N43" s="82"/>
      <c r="O43" s="82"/>
      <c r="P43" s="82"/>
      <c r="Q43" s="82"/>
      <c r="R43" s="82"/>
      <c r="S43" s="82"/>
      <c r="T43" s="84"/>
      <c r="U43" s="84"/>
      <c r="V43" s="84"/>
      <c r="W43" s="84"/>
      <c r="X43" s="93"/>
      <c r="Y43" s="93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2" t="s">
        <v>51</v>
      </c>
      <c r="L44" s="82"/>
      <c r="M44" s="82"/>
      <c r="N44" s="82"/>
      <c r="O44" s="82"/>
      <c r="P44" s="82"/>
      <c r="Q44" s="82"/>
      <c r="R44" s="83"/>
      <c r="S44" s="83"/>
      <c r="T44" s="84"/>
      <c r="U44" s="85"/>
      <c r="V44" s="85"/>
      <c r="W44" s="85"/>
      <c r="X44" s="85"/>
      <c r="Y44" s="86"/>
      <c r="Z44" s="94"/>
      <c r="AA44" s="94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 t="s">
        <v>48</v>
      </c>
      <c r="S45" s="89"/>
      <c r="T45" s="90" t="s">
        <v>52</v>
      </c>
      <c r="U45" s="91" t="s">
        <v>50</v>
      </c>
      <c r="V45" s="91"/>
      <c r="W45" s="91"/>
      <c r="X45" s="90"/>
      <c r="Y45" s="90"/>
      <c r="Z45" s="94"/>
      <c r="AA45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3:A37"/>
    <mergeCell ref="B42:J42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4"/>
  <sheetViews>
    <sheetView zoomScale="40" zoomScaleNormal="40" zoomScalePageLayoutView="0" workbookViewId="0" topLeftCell="A6">
      <selection activeCell="G28" sqref="G28"/>
    </sheetView>
  </sheetViews>
  <sheetFormatPr defaultColWidth="9.140625" defaultRowHeight="15"/>
  <cols>
    <col min="2" max="2" width="10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52.5" customHeight="1">
      <c r="A5" s="1" t="s">
        <v>5</v>
      </c>
      <c r="B5" s="1"/>
      <c r="C5" s="559" t="s">
        <v>65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63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64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53</v>
      </c>
      <c r="G10" s="573"/>
      <c r="H10" s="573"/>
      <c r="I10" s="573"/>
      <c r="J10" s="140">
        <v>11</v>
      </c>
      <c r="K10" s="573" t="s">
        <v>12</v>
      </c>
      <c r="L10" s="573"/>
      <c r="M10" s="573"/>
      <c r="N10" s="573"/>
      <c r="O10" s="573"/>
      <c r="P10" s="574"/>
      <c r="Q10" s="572" t="s">
        <v>54</v>
      </c>
      <c r="R10" s="573"/>
      <c r="S10" s="573"/>
      <c r="T10" s="574"/>
      <c r="U10" s="140">
        <v>16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100" t="s">
        <v>28</v>
      </c>
      <c r="B14" s="153" t="s">
        <v>66</v>
      </c>
      <c r="C14" s="158">
        <v>90</v>
      </c>
      <c r="D14" s="6">
        <f>E14/30</f>
        <v>3</v>
      </c>
      <c r="E14" s="7">
        <f aca="true" t="shared" si="0" ref="E14:E30">F14+Q14</f>
        <v>90</v>
      </c>
      <c r="F14" s="8">
        <f>G14+K14+N14+M14</f>
        <v>90</v>
      </c>
      <c r="G14" s="9">
        <f>H14+I14+J14</f>
        <v>44</v>
      </c>
      <c r="H14" s="10">
        <v>24</v>
      </c>
      <c r="I14" s="7"/>
      <c r="J14" s="8">
        <v>20</v>
      </c>
      <c r="K14" s="10">
        <v>46</v>
      </c>
      <c r="L14" s="7"/>
      <c r="M14" s="7"/>
      <c r="N14" s="7"/>
      <c r="O14" s="7"/>
      <c r="P14" s="8" t="s">
        <v>67</v>
      </c>
      <c r="Q14" s="163">
        <f aca="true" t="shared" si="1" ref="Q14:Q25">V14+X14+Y14+R14</f>
        <v>0</v>
      </c>
      <c r="R14" s="9">
        <f aca="true" t="shared" si="2" ref="R14:R30"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s="239" customFormat="1" ht="24.75" customHeight="1">
      <c r="A15" s="234" t="s">
        <v>29</v>
      </c>
      <c r="B15" s="154" t="s">
        <v>340</v>
      </c>
      <c r="C15" s="235">
        <v>105</v>
      </c>
      <c r="D15" s="236">
        <f aca="true" t="shared" si="3" ref="D15:D22">E15/30</f>
        <v>3.5</v>
      </c>
      <c r="E15" s="120">
        <f t="shared" si="0"/>
        <v>105</v>
      </c>
      <c r="F15" s="21">
        <f>G15+K15+N15+M15</f>
        <v>105</v>
      </c>
      <c r="G15" s="237">
        <f aca="true" t="shared" si="4" ref="G15:G30">H15+I15+J15</f>
        <v>66</v>
      </c>
      <c r="H15" s="119">
        <v>42</v>
      </c>
      <c r="I15" s="120"/>
      <c r="J15" s="21">
        <v>24</v>
      </c>
      <c r="K15" s="119">
        <v>39</v>
      </c>
      <c r="L15" s="120"/>
      <c r="M15" s="120"/>
      <c r="N15" s="120"/>
      <c r="O15" s="120" t="s">
        <v>69</v>
      </c>
      <c r="P15" s="21"/>
      <c r="Q15" s="238">
        <f t="shared" si="1"/>
        <v>0</v>
      </c>
      <c r="R15" s="237">
        <f t="shared" si="2"/>
        <v>0</v>
      </c>
      <c r="S15" s="119"/>
      <c r="T15" s="120"/>
      <c r="U15" s="21"/>
      <c r="V15" s="119"/>
      <c r="W15" s="120"/>
      <c r="X15" s="120"/>
      <c r="Y15" s="120"/>
      <c r="Z15" s="120"/>
      <c r="AA15" s="121"/>
    </row>
    <row r="16" spans="1:27" s="239" customFormat="1" ht="24.75" customHeight="1">
      <c r="A16" s="234" t="s">
        <v>30</v>
      </c>
      <c r="B16" s="154" t="s">
        <v>341</v>
      </c>
      <c r="C16" s="235">
        <v>60</v>
      </c>
      <c r="D16" s="236">
        <f t="shared" si="3"/>
        <v>3</v>
      </c>
      <c r="E16" s="120">
        <f t="shared" si="0"/>
        <v>90</v>
      </c>
      <c r="F16" s="21">
        <f aca="true" t="shared" si="5" ref="F16:F28">G16+K16+N16+M16</f>
        <v>0</v>
      </c>
      <c r="G16" s="237">
        <f t="shared" si="4"/>
        <v>0</v>
      </c>
      <c r="H16" s="119"/>
      <c r="I16" s="120"/>
      <c r="J16" s="21"/>
      <c r="K16" s="119"/>
      <c r="L16" s="120"/>
      <c r="M16" s="120"/>
      <c r="N16" s="120"/>
      <c r="O16" s="120"/>
      <c r="P16" s="21"/>
      <c r="Q16" s="238">
        <f t="shared" si="1"/>
        <v>90</v>
      </c>
      <c r="R16" s="237">
        <f t="shared" si="2"/>
        <v>30</v>
      </c>
      <c r="S16" s="119">
        <v>22</v>
      </c>
      <c r="T16" s="120"/>
      <c r="U16" s="21">
        <v>8</v>
      </c>
      <c r="V16" s="119">
        <v>60</v>
      </c>
      <c r="W16" s="120"/>
      <c r="X16" s="120"/>
      <c r="Y16" s="120"/>
      <c r="Z16" s="120" t="s">
        <v>70</v>
      </c>
      <c r="AA16" s="121"/>
    </row>
    <row r="17" spans="1:27" ht="24.75" customHeight="1">
      <c r="A17" s="138" t="s">
        <v>31</v>
      </c>
      <c r="B17" s="154" t="s">
        <v>71</v>
      </c>
      <c r="C17" s="159">
        <v>150</v>
      </c>
      <c r="D17" s="12">
        <f t="shared" si="3"/>
        <v>5</v>
      </c>
      <c r="E17" s="13">
        <f t="shared" si="0"/>
        <v>150</v>
      </c>
      <c r="F17" s="14">
        <f t="shared" si="5"/>
        <v>150</v>
      </c>
      <c r="G17" s="15">
        <f t="shared" si="4"/>
        <v>76</v>
      </c>
      <c r="H17" s="16">
        <v>46</v>
      </c>
      <c r="I17" s="13"/>
      <c r="J17" s="14">
        <v>30</v>
      </c>
      <c r="K17" s="16">
        <v>74</v>
      </c>
      <c r="L17" s="13" t="s">
        <v>72</v>
      </c>
      <c r="M17" s="13"/>
      <c r="N17" s="13"/>
      <c r="O17" s="13" t="s">
        <v>70</v>
      </c>
      <c r="P17" s="14"/>
      <c r="Q17" s="164">
        <f t="shared" si="1"/>
        <v>0</v>
      </c>
      <c r="R17" s="15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138" t="s">
        <v>32</v>
      </c>
      <c r="B18" s="154" t="s">
        <v>73</v>
      </c>
      <c r="C18" s="159">
        <v>120</v>
      </c>
      <c r="D18" s="12">
        <f t="shared" si="3"/>
        <v>4</v>
      </c>
      <c r="E18" s="13">
        <f t="shared" si="0"/>
        <v>120</v>
      </c>
      <c r="F18" s="14">
        <f t="shared" si="5"/>
        <v>0</v>
      </c>
      <c r="G18" s="15">
        <f t="shared" si="4"/>
        <v>0</v>
      </c>
      <c r="H18" s="16"/>
      <c r="I18" s="13"/>
      <c r="J18" s="14"/>
      <c r="K18" s="16"/>
      <c r="L18" s="13"/>
      <c r="M18" s="13"/>
      <c r="N18" s="13"/>
      <c r="O18" s="13"/>
      <c r="P18" s="14"/>
      <c r="Q18" s="164">
        <f t="shared" si="1"/>
        <v>120</v>
      </c>
      <c r="R18" s="15">
        <f t="shared" si="2"/>
        <v>64</v>
      </c>
      <c r="S18" s="16">
        <v>34</v>
      </c>
      <c r="T18" s="13"/>
      <c r="U18" s="14">
        <v>30</v>
      </c>
      <c r="V18" s="16">
        <v>56</v>
      </c>
      <c r="W18" s="13"/>
      <c r="X18" s="13"/>
      <c r="Y18" s="13"/>
      <c r="Z18" s="13" t="s">
        <v>70</v>
      </c>
      <c r="AA18" s="17"/>
    </row>
    <row r="19" spans="1:27" ht="24.75" customHeight="1">
      <c r="A19" s="138" t="s">
        <v>33</v>
      </c>
      <c r="B19" s="154" t="s">
        <v>74</v>
      </c>
      <c r="C19" s="159">
        <v>105</v>
      </c>
      <c r="D19" s="12">
        <f t="shared" si="3"/>
        <v>3.5</v>
      </c>
      <c r="E19" s="13">
        <f t="shared" si="0"/>
        <v>105</v>
      </c>
      <c r="F19" s="14">
        <f t="shared" si="5"/>
        <v>0</v>
      </c>
      <c r="G19" s="15">
        <f t="shared" si="4"/>
        <v>0</v>
      </c>
      <c r="H19" s="16"/>
      <c r="I19" s="13"/>
      <c r="J19" s="14"/>
      <c r="K19" s="16"/>
      <c r="L19" s="13"/>
      <c r="M19" s="13"/>
      <c r="N19" s="13"/>
      <c r="O19" s="13"/>
      <c r="P19" s="14"/>
      <c r="Q19" s="164">
        <f t="shared" si="1"/>
        <v>105</v>
      </c>
      <c r="R19" s="15">
        <f t="shared" si="2"/>
        <v>64</v>
      </c>
      <c r="S19" s="16">
        <v>44</v>
      </c>
      <c r="T19" s="13"/>
      <c r="U19" s="14">
        <v>20</v>
      </c>
      <c r="V19" s="16">
        <v>41</v>
      </c>
      <c r="W19" s="13"/>
      <c r="X19" s="13"/>
      <c r="Y19" s="13"/>
      <c r="Z19" s="13"/>
      <c r="AA19" s="17" t="s">
        <v>67</v>
      </c>
    </row>
    <row r="20" spans="1:27" ht="24.75" customHeight="1">
      <c r="A20" s="138" t="s">
        <v>34</v>
      </c>
      <c r="B20" s="154" t="s">
        <v>75</v>
      </c>
      <c r="C20" s="159">
        <v>120</v>
      </c>
      <c r="D20" s="12">
        <f t="shared" si="3"/>
        <v>4</v>
      </c>
      <c r="E20" s="13">
        <f t="shared" si="0"/>
        <v>120</v>
      </c>
      <c r="F20" s="14">
        <f t="shared" si="5"/>
        <v>0</v>
      </c>
      <c r="G20" s="15">
        <f t="shared" si="4"/>
        <v>0</v>
      </c>
      <c r="H20" s="16"/>
      <c r="I20" s="13"/>
      <c r="J20" s="14"/>
      <c r="K20" s="16"/>
      <c r="L20" s="13"/>
      <c r="M20" s="13"/>
      <c r="N20" s="13"/>
      <c r="O20" s="13"/>
      <c r="P20" s="14"/>
      <c r="Q20" s="164">
        <f t="shared" si="1"/>
        <v>120</v>
      </c>
      <c r="R20" s="15">
        <f t="shared" si="2"/>
        <v>64</v>
      </c>
      <c r="S20" s="16">
        <v>40</v>
      </c>
      <c r="T20" s="13"/>
      <c r="U20" s="14">
        <v>24</v>
      </c>
      <c r="V20" s="16">
        <v>56</v>
      </c>
      <c r="W20" s="13"/>
      <c r="X20" s="13"/>
      <c r="Y20" s="13"/>
      <c r="Z20" s="13"/>
      <c r="AA20" s="17" t="s">
        <v>67</v>
      </c>
    </row>
    <row r="21" spans="1:27" ht="24.75" customHeight="1">
      <c r="A21" s="138" t="s">
        <v>35</v>
      </c>
      <c r="B21" s="154" t="s">
        <v>76</v>
      </c>
      <c r="C21" s="159">
        <v>90</v>
      </c>
      <c r="D21" s="12">
        <f t="shared" si="3"/>
        <v>3</v>
      </c>
      <c r="E21" s="13">
        <f t="shared" si="0"/>
        <v>90</v>
      </c>
      <c r="F21" s="14">
        <f t="shared" si="5"/>
        <v>90</v>
      </c>
      <c r="G21" s="15">
        <f t="shared" si="4"/>
        <v>44</v>
      </c>
      <c r="H21" s="16">
        <v>24</v>
      </c>
      <c r="I21" s="13"/>
      <c r="J21" s="14">
        <v>20</v>
      </c>
      <c r="K21" s="16">
        <v>46</v>
      </c>
      <c r="L21" s="13"/>
      <c r="M21" s="13"/>
      <c r="N21" s="13"/>
      <c r="O21" s="13"/>
      <c r="P21" s="14" t="s">
        <v>67</v>
      </c>
      <c r="Q21" s="164">
        <f t="shared" si="1"/>
        <v>0</v>
      </c>
      <c r="R21" s="15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4.75" customHeight="1">
      <c r="A22" s="138" t="s">
        <v>36</v>
      </c>
      <c r="B22" s="155" t="s">
        <v>77</v>
      </c>
      <c r="C22" s="159">
        <v>120</v>
      </c>
      <c r="D22" s="12">
        <f t="shared" si="3"/>
        <v>4</v>
      </c>
      <c r="E22" s="13">
        <f t="shared" si="0"/>
        <v>120</v>
      </c>
      <c r="F22" s="14">
        <f t="shared" si="5"/>
        <v>0</v>
      </c>
      <c r="G22" s="15">
        <f t="shared" si="4"/>
        <v>0</v>
      </c>
      <c r="H22" s="160"/>
      <c r="I22" s="13"/>
      <c r="J22" s="14"/>
      <c r="K22" s="16"/>
      <c r="L22" s="13"/>
      <c r="M22" s="13"/>
      <c r="N22" s="13"/>
      <c r="O22" s="13"/>
      <c r="P22" s="14"/>
      <c r="Q22" s="164">
        <f t="shared" si="1"/>
        <v>120</v>
      </c>
      <c r="R22" s="15">
        <f t="shared" si="2"/>
        <v>64</v>
      </c>
      <c r="S22" s="167">
        <v>34</v>
      </c>
      <c r="T22" s="13"/>
      <c r="U22" s="14">
        <v>30</v>
      </c>
      <c r="V22" s="16">
        <v>56</v>
      </c>
      <c r="W22" s="13"/>
      <c r="X22" s="13"/>
      <c r="Y22" s="13"/>
      <c r="Z22" s="13" t="s">
        <v>70</v>
      </c>
      <c r="AA22" s="17"/>
    </row>
    <row r="23" spans="1:27" ht="24.75" customHeight="1">
      <c r="A23" s="138" t="s">
        <v>37</v>
      </c>
      <c r="B23" s="156" t="s">
        <v>78</v>
      </c>
      <c r="C23" s="159">
        <v>120</v>
      </c>
      <c r="D23" s="12">
        <f aca="true" t="shared" si="6" ref="D23:D29">E23/30</f>
        <v>4</v>
      </c>
      <c r="E23" s="13">
        <f t="shared" si="0"/>
        <v>120</v>
      </c>
      <c r="F23" s="14">
        <f t="shared" si="5"/>
        <v>45</v>
      </c>
      <c r="G23" s="15">
        <f t="shared" si="4"/>
        <v>22</v>
      </c>
      <c r="H23" s="16">
        <v>12</v>
      </c>
      <c r="I23" s="13"/>
      <c r="J23" s="14">
        <v>10</v>
      </c>
      <c r="K23" s="16">
        <v>23</v>
      </c>
      <c r="L23" s="13"/>
      <c r="M23" s="13"/>
      <c r="N23" s="13"/>
      <c r="O23" s="13"/>
      <c r="P23" s="14" t="s">
        <v>67</v>
      </c>
      <c r="Q23" s="164">
        <f t="shared" si="1"/>
        <v>75</v>
      </c>
      <c r="R23" s="15">
        <f t="shared" si="2"/>
        <v>48</v>
      </c>
      <c r="S23" s="16">
        <v>32</v>
      </c>
      <c r="T23" s="166"/>
      <c r="U23" s="19">
        <v>16</v>
      </c>
      <c r="V23" s="20">
        <v>27</v>
      </c>
      <c r="W23" s="13"/>
      <c r="X23" s="13"/>
      <c r="Y23" s="13"/>
      <c r="Z23" s="13" t="s">
        <v>70</v>
      </c>
      <c r="AA23" s="121"/>
    </row>
    <row r="24" spans="1:27" ht="20.25">
      <c r="A24" s="138" t="s">
        <v>38</v>
      </c>
      <c r="B24" s="154" t="s">
        <v>79</v>
      </c>
      <c r="C24" s="159">
        <v>120</v>
      </c>
      <c r="D24" s="12">
        <f t="shared" si="6"/>
        <v>4</v>
      </c>
      <c r="E24" s="13">
        <f t="shared" si="0"/>
        <v>120</v>
      </c>
      <c r="F24" s="14">
        <f t="shared" si="5"/>
        <v>0</v>
      </c>
      <c r="G24" s="15">
        <f t="shared" si="4"/>
        <v>0</v>
      </c>
      <c r="H24" s="16"/>
      <c r="I24" s="18"/>
      <c r="J24" s="19"/>
      <c r="K24" s="20"/>
      <c r="L24" s="18"/>
      <c r="M24" s="18"/>
      <c r="N24" s="18"/>
      <c r="O24" s="13"/>
      <c r="P24" s="14"/>
      <c r="Q24" s="164">
        <f t="shared" si="1"/>
        <v>120</v>
      </c>
      <c r="R24" s="15">
        <f t="shared" si="2"/>
        <v>64</v>
      </c>
      <c r="S24" s="16">
        <v>40</v>
      </c>
      <c r="T24" s="18"/>
      <c r="U24" s="19">
        <v>24</v>
      </c>
      <c r="V24" s="20">
        <v>56</v>
      </c>
      <c r="W24" s="18"/>
      <c r="X24" s="18"/>
      <c r="Y24" s="18"/>
      <c r="Z24" s="13" t="s">
        <v>70</v>
      </c>
      <c r="AA24" s="17"/>
    </row>
    <row r="25" spans="1:27" ht="24.75" customHeight="1" thickBot="1">
      <c r="A25" s="168" t="s">
        <v>39</v>
      </c>
      <c r="B25" s="169" t="s">
        <v>80</v>
      </c>
      <c r="C25" s="170">
        <v>90</v>
      </c>
      <c r="D25" s="171">
        <f t="shared" si="6"/>
        <v>3</v>
      </c>
      <c r="E25" s="172">
        <f t="shared" si="0"/>
        <v>90</v>
      </c>
      <c r="F25" s="173">
        <f t="shared" si="5"/>
        <v>90</v>
      </c>
      <c r="G25" s="118">
        <f t="shared" si="4"/>
        <v>44</v>
      </c>
      <c r="H25" s="176">
        <v>24</v>
      </c>
      <c r="I25" s="177"/>
      <c r="J25" s="178">
        <v>20</v>
      </c>
      <c r="K25" s="182">
        <v>46</v>
      </c>
      <c r="L25" s="177"/>
      <c r="M25" s="177"/>
      <c r="N25" s="177"/>
      <c r="O25" s="177"/>
      <c r="P25" s="173" t="s">
        <v>67</v>
      </c>
      <c r="Q25" s="183">
        <f t="shared" si="1"/>
        <v>0</v>
      </c>
      <c r="R25" s="118">
        <f t="shared" si="2"/>
        <v>0</v>
      </c>
      <c r="S25" s="98"/>
      <c r="T25" s="552"/>
      <c r="U25" s="161"/>
      <c r="V25" s="162"/>
      <c r="W25" s="552"/>
      <c r="X25" s="552"/>
      <c r="Y25" s="552"/>
      <c r="Z25" s="552"/>
      <c r="AA25" s="99"/>
    </row>
    <row r="26" spans="1:27" ht="24.75" customHeight="1">
      <c r="A26" s="187" t="s">
        <v>40</v>
      </c>
      <c r="B26" s="188" t="s">
        <v>342</v>
      </c>
      <c r="C26" s="189">
        <v>120</v>
      </c>
      <c r="D26" s="190">
        <f t="shared" si="6"/>
        <v>4</v>
      </c>
      <c r="E26" s="191">
        <f t="shared" si="0"/>
        <v>120</v>
      </c>
      <c r="F26" s="192">
        <f t="shared" si="5"/>
        <v>120</v>
      </c>
      <c r="G26" s="193">
        <f t="shared" si="4"/>
        <v>44</v>
      </c>
      <c r="H26" s="194">
        <v>24</v>
      </c>
      <c r="I26" s="191"/>
      <c r="J26" s="192">
        <v>20</v>
      </c>
      <c r="K26" s="194">
        <v>76</v>
      </c>
      <c r="L26" s="191"/>
      <c r="M26" s="191"/>
      <c r="N26" s="191"/>
      <c r="O26" s="191"/>
      <c r="P26" s="192" t="s">
        <v>67</v>
      </c>
      <c r="Q26" s="195">
        <f>V26+W26+X26+Y26+R26</f>
        <v>0</v>
      </c>
      <c r="R26" s="193">
        <f t="shared" si="2"/>
        <v>0</v>
      </c>
      <c r="S26" s="549"/>
      <c r="T26" s="550"/>
      <c r="U26" s="551"/>
      <c r="V26" s="553"/>
      <c r="W26" s="554"/>
      <c r="X26" s="554"/>
      <c r="Y26" s="554"/>
      <c r="Z26" s="554"/>
      <c r="AA26" s="555"/>
    </row>
    <row r="27" spans="1:27" ht="24.75" customHeight="1" thickBot="1">
      <c r="A27" s="200" t="s">
        <v>41</v>
      </c>
      <c r="B27" s="201" t="s">
        <v>343</v>
      </c>
      <c r="C27" s="202">
        <v>120</v>
      </c>
      <c r="D27" s="203">
        <f t="shared" si="6"/>
        <v>4</v>
      </c>
      <c r="E27" s="204">
        <f t="shared" si="0"/>
        <v>120</v>
      </c>
      <c r="F27" s="205">
        <f t="shared" si="5"/>
        <v>0</v>
      </c>
      <c r="G27" s="206">
        <f t="shared" si="4"/>
        <v>0</v>
      </c>
      <c r="H27" s="207"/>
      <c r="I27" s="204"/>
      <c r="J27" s="205"/>
      <c r="K27" s="207"/>
      <c r="L27" s="204"/>
      <c r="M27" s="204"/>
      <c r="N27" s="204"/>
      <c r="O27" s="204"/>
      <c r="P27" s="205"/>
      <c r="Q27" s="208">
        <f>V27+X27+Y27+R27</f>
        <v>120</v>
      </c>
      <c r="R27" s="206">
        <f t="shared" si="2"/>
        <v>68</v>
      </c>
      <c r="S27" s="207">
        <v>46</v>
      </c>
      <c r="T27" s="204"/>
      <c r="U27" s="205">
        <v>22</v>
      </c>
      <c r="V27" s="207">
        <v>52</v>
      </c>
      <c r="W27" s="204"/>
      <c r="X27" s="204"/>
      <c r="Y27" s="204"/>
      <c r="Z27" s="204"/>
      <c r="AA27" s="209" t="s">
        <v>67</v>
      </c>
    </row>
    <row r="28" spans="1:27" ht="24.75" customHeight="1">
      <c r="A28" s="101" t="s">
        <v>55</v>
      </c>
      <c r="B28" s="116" t="s">
        <v>81</v>
      </c>
      <c r="C28" s="108">
        <v>180</v>
      </c>
      <c r="D28" s="109">
        <f>E28/30</f>
        <v>6</v>
      </c>
      <c r="E28" s="110">
        <f>F28+Q28</f>
        <v>180</v>
      </c>
      <c r="F28" s="111">
        <f t="shared" si="5"/>
        <v>180</v>
      </c>
      <c r="G28" s="112">
        <f>H28+I28+J28</f>
        <v>120</v>
      </c>
      <c r="H28" s="113"/>
      <c r="I28" s="110"/>
      <c r="J28" s="114">
        <v>120</v>
      </c>
      <c r="K28" s="174">
        <v>60</v>
      </c>
      <c r="L28" s="110"/>
      <c r="M28" s="110"/>
      <c r="N28" s="110"/>
      <c r="O28" s="110"/>
      <c r="P28" s="114" t="s">
        <v>67</v>
      </c>
      <c r="Q28" s="115">
        <f>V28+X28+Y28+R28</f>
        <v>0</v>
      </c>
      <c r="R28" s="112">
        <f t="shared" si="2"/>
        <v>0</v>
      </c>
      <c r="S28" s="113"/>
      <c r="T28" s="110"/>
      <c r="U28" s="111"/>
      <c r="V28" s="113"/>
      <c r="W28" s="110"/>
      <c r="X28" s="110"/>
      <c r="Y28" s="110"/>
      <c r="Z28" s="110"/>
      <c r="AA28" s="114"/>
    </row>
    <row r="29" spans="1:27" ht="24.75" customHeight="1" thickBot="1">
      <c r="A29" s="101" t="s">
        <v>56</v>
      </c>
      <c r="B29" s="104" t="s">
        <v>82</v>
      </c>
      <c r="C29" s="117">
        <v>180</v>
      </c>
      <c r="D29" s="22">
        <f t="shared" si="6"/>
        <v>6</v>
      </c>
      <c r="E29" s="23">
        <f t="shared" si="0"/>
        <v>180</v>
      </c>
      <c r="F29" s="24">
        <f>G29+K29+L29+N29</f>
        <v>0</v>
      </c>
      <c r="G29" s="118">
        <f t="shared" si="4"/>
        <v>0</v>
      </c>
      <c r="H29" s="106"/>
      <c r="I29" s="105"/>
      <c r="J29" s="107"/>
      <c r="K29" s="175"/>
      <c r="L29" s="120"/>
      <c r="M29" s="120"/>
      <c r="N29" s="120"/>
      <c r="O29" s="120"/>
      <c r="P29" s="121"/>
      <c r="Q29" s="25">
        <f>V29+W29+X29+Y29+R29</f>
        <v>180</v>
      </c>
      <c r="R29" s="118">
        <f t="shared" si="2"/>
        <v>120</v>
      </c>
      <c r="S29" s="119"/>
      <c r="T29" s="122"/>
      <c r="U29" s="123">
        <v>120</v>
      </c>
      <c r="V29" s="124">
        <v>60</v>
      </c>
      <c r="W29" s="120"/>
      <c r="X29" s="120"/>
      <c r="Y29" s="120"/>
      <c r="Z29" s="120"/>
      <c r="AA29" s="121" t="s">
        <v>67</v>
      </c>
    </row>
    <row r="30" spans="1:27" ht="24.75" customHeight="1" thickBot="1">
      <c r="A30" s="125" t="s">
        <v>57</v>
      </c>
      <c r="B30" s="185" t="s">
        <v>83</v>
      </c>
      <c r="C30" s="126">
        <v>45</v>
      </c>
      <c r="D30" s="127">
        <f>E30/30</f>
        <v>1.5</v>
      </c>
      <c r="E30" s="127">
        <f t="shared" si="0"/>
        <v>45</v>
      </c>
      <c r="F30" s="128">
        <f>G30+K30+N30+M30</f>
        <v>0</v>
      </c>
      <c r="G30" s="129">
        <f t="shared" si="4"/>
        <v>0</v>
      </c>
      <c r="H30" s="179"/>
      <c r="I30" s="180"/>
      <c r="J30" s="181"/>
      <c r="K30" s="130"/>
      <c r="L30" s="127"/>
      <c r="M30" s="127"/>
      <c r="N30" s="127"/>
      <c r="O30" s="127"/>
      <c r="P30" s="131"/>
      <c r="Q30" s="132">
        <f>V30+X30+Y30+R30</f>
        <v>45</v>
      </c>
      <c r="R30" s="129">
        <f t="shared" si="2"/>
        <v>45</v>
      </c>
      <c r="S30" s="130"/>
      <c r="T30" s="133"/>
      <c r="U30" s="210">
        <v>45</v>
      </c>
      <c r="V30" s="134"/>
      <c r="W30" s="127"/>
      <c r="X30" s="127"/>
      <c r="Y30" s="127"/>
      <c r="Z30" s="211" t="s">
        <v>70</v>
      </c>
      <c r="AA30" s="131"/>
    </row>
    <row r="31" spans="1:27" ht="24.75" customHeight="1" thickBot="1">
      <c r="A31" s="28"/>
      <c r="B31" s="29" t="s">
        <v>42</v>
      </c>
      <c r="C31" s="30">
        <f>SUM(C14:C30)</f>
        <v>1935</v>
      </c>
      <c r="D31" s="31">
        <f>SUM(D14:D30)</f>
        <v>65.5</v>
      </c>
      <c r="E31" s="31">
        <f>SUM(E14:E30)</f>
        <v>1965</v>
      </c>
      <c r="F31" s="32">
        <f>SUM(F14:F30)</f>
        <v>870</v>
      </c>
      <c r="G31" s="33">
        <f>SUM(G14:G27)</f>
        <v>340</v>
      </c>
      <c r="H31" s="34">
        <f>SUM(H14:H30)</f>
        <v>196</v>
      </c>
      <c r="I31" s="35">
        <f>SUM(I14:I30)</f>
        <v>0</v>
      </c>
      <c r="J31" s="35">
        <f>SUM(J14:J30)</f>
        <v>264</v>
      </c>
      <c r="K31" s="35">
        <f>SUM(K14:K30)</f>
        <v>410</v>
      </c>
      <c r="L31" s="35">
        <v>1</v>
      </c>
      <c r="M31" s="35">
        <f>SUM(M14:M30)</f>
        <v>0</v>
      </c>
      <c r="N31" s="35">
        <f>SUM(N14:N30)</f>
        <v>0</v>
      </c>
      <c r="O31" s="35">
        <v>2</v>
      </c>
      <c r="P31" s="36">
        <v>5</v>
      </c>
      <c r="Q31" s="33">
        <f>SUM(Q14:Q30)</f>
        <v>1095</v>
      </c>
      <c r="R31" s="37">
        <f>SUM(R14:R27)</f>
        <v>466</v>
      </c>
      <c r="S31" s="38">
        <f aca="true" t="shared" si="7" ref="S31:Y31">SUM(S14:S30)</f>
        <v>292</v>
      </c>
      <c r="T31" s="31">
        <f t="shared" si="7"/>
        <v>0</v>
      </c>
      <c r="U31" s="31">
        <f t="shared" si="7"/>
        <v>339</v>
      </c>
      <c r="V31" s="31">
        <f t="shared" si="7"/>
        <v>464</v>
      </c>
      <c r="W31" s="31">
        <f t="shared" si="7"/>
        <v>0</v>
      </c>
      <c r="X31" s="31">
        <f t="shared" si="7"/>
        <v>0</v>
      </c>
      <c r="Y31" s="31">
        <f t="shared" si="7"/>
        <v>0</v>
      </c>
      <c r="Z31" s="31">
        <v>5</v>
      </c>
      <c r="AA31" s="142">
        <v>3</v>
      </c>
    </row>
    <row r="32" spans="1:27" ht="24.75" customHeight="1" thickBot="1">
      <c r="A32" s="589"/>
      <c r="B32" s="40" t="s">
        <v>43</v>
      </c>
      <c r="C32" s="41"/>
      <c r="D32" s="42"/>
      <c r="E32" s="43"/>
      <c r="F32" s="44"/>
      <c r="G32" s="45">
        <f>G31/J10</f>
        <v>30.90909090909091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SUM(R14:R27)/U10</f>
        <v>29.125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4.75" customHeight="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2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6</v>
      </c>
      <c r="AA33" s="144"/>
    </row>
    <row r="34" spans="1:27" ht="24.75" customHeight="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6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4</v>
      </c>
    </row>
    <row r="35" spans="1:27" ht="24.75" customHeight="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v>1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76">
        <v>0</v>
      </c>
      <c r="X35" s="67"/>
      <c r="Y35" s="63"/>
      <c r="Z35" s="64"/>
      <c r="AA35" s="145"/>
    </row>
    <row r="36" spans="1:27" ht="24.75" customHeight="1" thickBot="1">
      <c r="A36" s="591"/>
      <c r="B36" s="137" t="s">
        <v>47</v>
      </c>
      <c r="C36" s="77">
        <f>SUM(C32:C35)</f>
        <v>0</v>
      </c>
      <c r="D36" s="77">
        <f aca="true" t="shared" si="8" ref="D36:AA36">SUM(D32:D35)</f>
        <v>0</v>
      </c>
      <c r="E36" s="77">
        <f t="shared" si="8"/>
        <v>0</v>
      </c>
      <c r="F36" s="77">
        <f t="shared" si="8"/>
        <v>0</v>
      </c>
      <c r="G36" s="78">
        <f>SUM(G32:G35)</f>
        <v>30.90909090909091</v>
      </c>
      <c r="H36" s="31">
        <f t="shared" si="8"/>
        <v>0</v>
      </c>
      <c r="I36" s="31">
        <f t="shared" si="8"/>
        <v>0</v>
      </c>
      <c r="J36" s="31">
        <f t="shared" si="8"/>
        <v>0</v>
      </c>
      <c r="K36" s="32">
        <f t="shared" si="8"/>
        <v>0</v>
      </c>
      <c r="L36" s="39">
        <f t="shared" si="8"/>
        <v>1</v>
      </c>
      <c r="M36" s="38">
        <f t="shared" si="8"/>
        <v>0</v>
      </c>
      <c r="N36" s="31">
        <f t="shared" si="8"/>
        <v>0</v>
      </c>
      <c r="O36" s="31">
        <f t="shared" si="8"/>
        <v>2</v>
      </c>
      <c r="P36" s="31">
        <f t="shared" si="8"/>
        <v>6</v>
      </c>
      <c r="Q36" s="77">
        <f t="shared" si="8"/>
        <v>0</v>
      </c>
      <c r="R36" s="78">
        <f t="shared" si="8"/>
        <v>29.125</v>
      </c>
      <c r="S36" s="77">
        <f t="shared" si="8"/>
        <v>0</v>
      </c>
      <c r="T36" s="77">
        <f t="shared" si="8"/>
        <v>0</v>
      </c>
      <c r="U36" s="77">
        <f t="shared" si="8"/>
        <v>0</v>
      </c>
      <c r="V36" s="77">
        <f t="shared" si="8"/>
        <v>0</v>
      </c>
      <c r="W36" s="77">
        <f t="shared" si="8"/>
        <v>0</v>
      </c>
      <c r="X36" s="77">
        <f t="shared" si="8"/>
        <v>0</v>
      </c>
      <c r="Y36" s="77">
        <f t="shared" si="8"/>
        <v>0</v>
      </c>
      <c r="Z36" s="77">
        <f>SUM(Z32:Z35)</f>
        <v>6</v>
      </c>
      <c r="AA36" s="146">
        <f t="shared" si="8"/>
        <v>4</v>
      </c>
    </row>
    <row r="37" spans="1:27" ht="24.75" customHeight="1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F11:F13"/>
    <mergeCell ref="G11:J11"/>
    <mergeCell ref="K11:K13"/>
    <mergeCell ref="L11:L13"/>
    <mergeCell ref="M11:M13"/>
    <mergeCell ref="N11:N13"/>
    <mergeCell ref="Z12:Z13"/>
    <mergeCell ref="AA12:AA13"/>
    <mergeCell ref="A32:A36"/>
    <mergeCell ref="B41:J41"/>
    <mergeCell ref="O11:P11"/>
    <mergeCell ref="Q11:Q13"/>
    <mergeCell ref="R11:U11"/>
    <mergeCell ref="V11:V13"/>
    <mergeCell ref="W11:W13"/>
    <mergeCell ref="X11:X13"/>
    <mergeCell ref="A9:AA9"/>
    <mergeCell ref="A8:AA8"/>
    <mergeCell ref="G12:G13"/>
    <mergeCell ref="H12:J12"/>
    <mergeCell ref="O12:O13"/>
    <mergeCell ref="P12:P13"/>
    <mergeCell ref="R12:R13"/>
    <mergeCell ref="S12:U12"/>
    <mergeCell ref="Y11:Y13"/>
    <mergeCell ref="Z11:AA11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46"/>
  <sheetViews>
    <sheetView zoomScale="55" zoomScaleNormal="55" zoomScalePageLayoutView="0" workbookViewId="0" topLeftCell="A13">
      <selection activeCell="AA19" sqref="AA19:AA28"/>
    </sheetView>
  </sheetViews>
  <sheetFormatPr defaultColWidth="9.140625" defaultRowHeight="15"/>
  <cols>
    <col min="2" max="2" width="84.281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120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155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328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53</v>
      </c>
      <c r="G10" s="573"/>
      <c r="H10" s="573"/>
      <c r="I10" s="573"/>
      <c r="J10" s="140">
        <v>12</v>
      </c>
      <c r="K10" s="573" t="s">
        <v>12</v>
      </c>
      <c r="L10" s="573"/>
      <c r="M10" s="573"/>
      <c r="N10" s="573"/>
      <c r="O10" s="573"/>
      <c r="P10" s="574"/>
      <c r="Q10" s="572" t="s">
        <v>54</v>
      </c>
      <c r="R10" s="573"/>
      <c r="S10" s="573"/>
      <c r="T10" s="574"/>
      <c r="U10" s="140">
        <v>15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s="239" customFormat="1" ht="24.75" customHeight="1">
      <c r="A14" s="422" t="s">
        <v>28</v>
      </c>
      <c r="B14" s="334" t="s">
        <v>341</v>
      </c>
      <c r="C14" s="383">
        <v>90</v>
      </c>
      <c r="D14" s="423">
        <f>E14/30</f>
        <v>3</v>
      </c>
      <c r="E14" s="424">
        <f aca="true" t="shared" si="0" ref="E14:E32">F14+Q14</f>
        <v>90</v>
      </c>
      <c r="F14" s="425">
        <f>G14+K14+N14+M14</f>
        <v>0</v>
      </c>
      <c r="G14" s="426">
        <f>H14+I14+J14</f>
        <v>0</v>
      </c>
      <c r="H14" s="427"/>
      <c r="I14" s="424"/>
      <c r="J14" s="425"/>
      <c r="K14" s="427"/>
      <c r="L14" s="424"/>
      <c r="M14" s="424"/>
      <c r="N14" s="424"/>
      <c r="O14" s="424"/>
      <c r="P14" s="425"/>
      <c r="Q14" s="428">
        <f aca="true" t="shared" si="1" ref="Q14:Q23">V14+X14+Y14+R14</f>
        <v>90</v>
      </c>
      <c r="R14" s="426">
        <f aca="true" t="shared" si="2" ref="R14:R32">S14+T14+U14</f>
        <v>30</v>
      </c>
      <c r="S14" s="427">
        <v>22</v>
      </c>
      <c r="T14" s="424"/>
      <c r="U14" s="425">
        <v>8</v>
      </c>
      <c r="V14" s="427">
        <v>60</v>
      </c>
      <c r="W14" s="424"/>
      <c r="X14" s="424"/>
      <c r="Y14" s="424"/>
      <c r="Z14" s="424" t="s">
        <v>70</v>
      </c>
      <c r="AA14" s="322"/>
    </row>
    <row r="15" spans="1:27" s="239" customFormat="1" ht="24.75" customHeight="1">
      <c r="A15" s="336" t="s">
        <v>29</v>
      </c>
      <c r="B15" s="323" t="s">
        <v>340</v>
      </c>
      <c r="C15" s="235">
        <v>105</v>
      </c>
      <c r="D15" s="236">
        <f aca="true" t="shared" si="3" ref="D15:D31">E15/30</f>
        <v>5</v>
      </c>
      <c r="E15" s="120">
        <f t="shared" si="0"/>
        <v>150</v>
      </c>
      <c r="F15" s="21">
        <f>G15+K15+N15+M15</f>
        <v>150</v>
      </c>
      <c r="G15" s="237">
        <f aca="true" t="shared" si="4" ref="G15:G32">H15+I15+J15</f>
        <v>60</v>
      </c>
      <c r="H15" s="119">
        <v>42</v>
      </c>
      <c r="I15" s="120"/>
      <c r="J15" s="21">
        <v>18</v>
      </c>
      <c r="K15" s="119">
        <v>90</v>
      </c>
      <c r="L15" s="120"/>
      <c r="M15" s="120"/>
      <c r="N15" s="120"/>
      <c r="O15" s="120" t="s">
        <v>70</v>
      </c>
      <c r="P15" s="21"/>
      <c r="Q15" s="238">
        <f t="shared" si="1"/>
        <v>0</v>
      </c>
      <c r="R15" s="237">
        <f t="shared" si="2"/>
        <v>0</v>
      </c>
      <c r="S15" s="119"/>
      <c r="T15" s="120"/>
      <c r="U15" s="21"/>
      <c r="V15" s="119"/>
      <c r="W15" s="120"/>
      <c r="X15" s="120"/>
      <c r="Y15" s="120"/>
      <c r="Z15" s="120"/>
      <c r="AA15" s="121"/>
    </row>
    <row r="16" spans="1:27" ht="24.75" customHeight="1">
      <c r="A16" s="326" t="s">
        <v>30</v>
      </c>
      <c r="B16" s="323" t="s">
        <v>66</v>
      </c>
      <c r="C16" s="159">
        <v>150</v>
      </c>
      <c r="D16" s="12">
        <f t="shared" si="3"/>
        <v>5</v>
      </c>
      <c r="E16" s="13">
        <f t="shared" si="0"/>
        <v>150</v>
      </c>
      <c r="F16" s="14">
        <f aca="true" t="shared" si="5" ref="F16:F30">G16+K16+N16+M16</f>
        <v>150</v>
      </c>
      <c r="G16" s="15">
        <f t="shared" si="4"/>
        <v>60</v>
      </c>
      <c r="H16" s="16">
        <v>40</v>
      </c>
      <c r="I16" s="13"/>
      <c r="J16" s="14">
        <v>20</v>
      </c>
      <c r="K16" s="16">
        <v>90</v>
      </c>
      <c r="L16" s="13" t="s">
        <v>125</v>
      </c>
      <c r="M16" s="13"/>
      <c r="N16" s="13"/>
      <c r="O16" s="13" t="s">
        <v>70</v>
      </c>
      <c r="P16" s="14"/>
      <c r="Q16" s="164">
        <f t="shared" si="1"/>
        <v>0</v>
      </c>
      <c r="R16" s="15">
        <f t="shared" si="2"/>
        <v>0</v>
      </c>
      <c r="S16" s="16"/>
      <c r="T16" s="13"/>
      <c r="U16" s="14"/>
      <c r="V16" s="16"/>
      <c r="W16" s="13"/>
      <c r="X16" s="13"/>
      <c r="Y16" s="13"/>
      <c r="Z16" s="13"/>
      <c r="AA16" s="17"/>
    </row>
    <row r="17" spans="1:27" ht="24.75" customHeight="1">
      <c r="A17" s="326" t="s">
        <v>31</v>
      </c>
      <c r="B17" s="323" t="s">
        <v>134</v>
      </c>
      <c r="C17" s="159">
        <v>120</v>
      </c>
      <c r="D17" s="12">
        <f t="shared" si="3"/>
        <v>4</v>
      </c>
      <c r="E17" s="13">
        <f t="shared" si="0"/>
        <v>120</v>
      </c>
      <c r="F17" s="14">
        <f t="shared" si="5"/>
        <v>0</v>
      </c>
      <c r="G17" s="15">
        <f t="shared" si="4"/>
        <v>0</v>
      </c>
      <c r="H17" s="16"/>
      <c r="I17" s="13"/>
      <c r="J17" s="14"/>
      <c r="K17" s="16"/>
      <c r="L17" s="13"/>
      <c r="M17" s="13"/>
      <c r="N17" s="13"/>
      <c r="O17" s="13"/>
      <c r="P17" s="14"/>
      <c r="Q17" s="164">
        <f t="shared" si="1"/>
        <v>120</v>
      </c>
      <c r="R17" s="15">
        <f t="shared" si="2"/>
        <v>60</v>
      </c>
      <c r="S17" s="16">
        <v>40</v>
      </c>
      <c r="T17" s="13"/>
      <c r="U17" s="14">
        <v>20</v>
      </c>
      <c r="V17" s="16">
        <v>60</v>
      </c>
      <c r="W17" s="13"/>
      <c r="X17" s="13"/>
      <c r="Y17" s="13"/>
      <c r="Z17" s="13" t="s">
        <v>70</v>
      </c>
      <c r="AA17" s="17"/>
    </row>
    <row r="18" spans="1:27" ht="24.75" customHeight="1">
      <c r="A18" s="326" t="s">
        <v>32</v>
      </c>
      <c r="B18" s="323" t="s">
        <v>98</v>
      </c>
      <c r="C18" s="159">
        <v>240</v>
      </c>
      <c r="D18" s="12">
        <f t="shared" si="3"/>
        <v>8</v>
      </c>
      <c r="E18" s="13">
        <f t="shared" si="0"/>
        <v>240</v>
      </c>
      <c r="F18" s="14">
        <f t="shared" si="5"/>
        <v>90</v>
      </c>
      <c r="G18" s="15">
        <f t="shared" si="4"/>
        <v>48</v>
      </c>
      <c r="H18" s="16">
        <v>24</v>
      </c>
      <c r="I18" s="13"/>
      <c r="J18" s="14">
        <v>24</v>
      </c>
      <c r="K18" s="16">
        <v>42</v>
      </c>
      <c r="L18" s="13"/>
      <c r="M18" s="13"/>
      <c r="N18" s="13"/>
      <c r="O18" s="13"/>
      <c r="P18" s="14" t="s">
        <v>67</v>
      </c>
      <c r="Q18" s="164">
        <f t="shared" si="1"/>
        <v>150</v>
      </c>
      <c r="R18" s="15">
        <f t="shared" si="2"/>
        <v>90</v>
      </c>
      <c r="S18" s="16">
        <v>46</v>
      </c>
      <c r="T18" s="13"/>
      <c r="U18" s="14">
        <v>44</v>
      </c>
      <c r="V18" s="16">
        <f>102-42</f>
        <v>60</v>
      </c>
      <c r="W18" s="13" t="s">
        <v>125</v>
      </c>
      <c r="X18" s="13"/>
      <c r="Y18" s="13"/>
      <c r="Z18" s="13" t="s">
        <v>70</v>
      </c>
      <c r="AA18" s="17"/>
    </row>
    <row r="19" spans="1:27" ht="24.75" customHeight="1">
      <c r="A19" s="326" t="s">
        <v>33</v>
      </c>
      <c r="B19" s="323" t="s">
        <v>77</v>
      </c>
      <c r="C19" s="159">
        <v>90</v>
      </c>
      <c r="D19" s="12">
        <f t="shared" si="3"/>
        <v>3</v>
      </c>
      <c r="E19" s="13">
        <f t="shared" si="0"/>
        <v>90</v>
      </c>
      <c r="F19" s="14">
        <f t="shared" si="5"/>
        <v>0</v>
      </c>
      <c r="G19" s="15">
        <f t="shared" si="4"/>
        <v>0</v>
      </c>
      <c r="H19" s="16"/>
      <c r="I19" s="13"/>
      <c r="J19" s="14"/>
      <c r="K19" s="16"/>
      <c r="L19" s="13"/>
      <c r="M19" s="13"/>
      <c r="N19" s="13"/>
      <c r="O19" s="13"/>
      <c r="P19" s="14"/>
      <c r="Q19" s="164">
        <f t="shared" si="1"/>
        <v>90</v>
      </c>
      <c r="R19" s="15">
        <f t="shared" si="2"/>
        <v>46</v>
      </c>
      <c r="S19" s="16">
        <v>30</v>
      </c>
      <c r="T19" s="13"/>
      <c r="U19" s="14">
        <v>16</v>
      </c>
      <c r="V19" s="16">
        <v>44</v>
      </c>
      <c r="W19" s="13"/>
      <c r="X19" s="13"/>
      <c r="Y19" s="13"/>
      <c r="Z19" s="13"/>
      <c r="AA19" s="17" t="s">
        <v>67</v>
      </c>
    </row>
    <row r="20" spans="1:27" ht="24.75" customHeight="1">
      <c r="A20" s="326" t="s">
        <v>34</v>
      </c>
      <c r="B20" s="323" t="s">
        <v>157</v>
      </c>
      <c r="C20" s="159">
        <v>90</v>
      </c>
      <c r="D20" s="12">
        <f t="shared" si="3"/>
        <v>3</v>
      </c>
      <c r="E20" s="13">
        <f t="shared" si="0"/>
        <v>90</v>
      </c>
      <c r="F20" s="14">
        <f t="shared" si="5"/>
        <v>0</v>
      </c>
      <c r="G20" s="15">
        <f t="shared" si="4"/>
        <v>0</v>
      </c>
      <c r="H20" s="16"/>
      <c r="I20" s="13"/>
      <c r="J20" s="14"/>
      <c r="K20" s="16"/>
      <c r="L20" s="13"/>
      <c r="M20" s="13"/>
      <c r="N20" s="13"/>
      <c r="O20" s="13"/>
      <c r="P20" s="14"/>
      <c r="Q20" s="164">
        <f t="shared" si="1"/>
        <v>90</v>
      </c>
      <c r="R20" s="15">
        <f t="shared" si="2"/>
        <v>46</v>
      </c>
      <c r="S20" s="16">
        <v>30</v>
      </c>
      <c r="T20" s="13"/>
      <c r="U20" s="14">
        <v>16</v>
      </c>
      <c r="V20" s="16">
        <v>44</v>
      </c>
      <c r="W20" s="13"/>
      <c r="X20" s="13"/>
      <c r="Y20" s="13"/>
      <c r="Z20" s="13"/>
      <c r="AA20" s="17" t="s">
        <v>67</v>
      </c>
    </row>
    <row r="21" spans="1:27" ht="24.75" customHeight="1">
      <c r="A21" s="326" t="s">
        <v>35</v>
      </c>
      <c r="B21" s="323" t="s">
        <v>142</v>
      </c>
      <c r="C21" s="159">
        <v>90</v>
      </c>
      <c r="D21" s="12">
        <f t="shared" si="3"/>
        <v>3</v>
      </c>
      <c r="E21" s="13">
        <f t="shared" si="0"/>
        <v>90</v>
      </c>
      <c r="F21" s="14">
        <f t="shared" si="5"/>
        <v>90</v>
      </c>
      <c r="G21" s="15">
        <f t="shared" si="4"/>
        <v>36</v>
      </c>
      <c r="H21" s="16">
        <v>22</v>
      </c>
      <c r="I21" s="13"/>
      <c r="J21" s="14">
        <v>14</v>
      </c>
      <c r="K21" s="16">
        <v>54</v>
      </c>
      <c r="L21" s="13"/>
      <c r="M21" s="13"/>
      <c r="N21" s="13"/>
      <c r="O21" s="13"/>
      <c r="P21" s="14" t="s">
        <v>67</v>
      </c>
      <c r="Q21" s="164">
        <f t="shared" si="1"/>
        <v>0</v>
      </c>
      <c r="R21" s="15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4.75" customHeight="1">
      <c r="A22" s="326" t="s">
        <v>36</v>
      </c>
      <c r="B22" s="324" t="s">
        <v>75</v>
      </c>
      <c r="C22" s="159">
        <v>120</v>
      </c>
      <c r="D22" s="12">
        <f t="shared" si="3"/>
        <v>4</v>
      </c>
      <c r="E22" s="13">
        <f t="shared" si="0"/>
        <v>120</v>
      </c>
      <c r="F22" s="14">
        <f t="shared" si="5"/>
        <v>0</v>
      </c>
      <c r="G22" s="15">
        <f t="shared" si="4"/>
        <v>0</v>
      </c>
      <c r="H22" s="160"/>
      <c r="I22" s="13"/>
      <c r="J22" s="14"/>
      <c r="K22" s="16"/>
      <c r="L22" s="13"/>
      <c r="M22" s="13"/>
      <c r="N22" s="13"/>
      <c r="O22" s="13"/>
      <c r="P22" s="14"/>
      <c r="Q22" s="164">
        <f t="shared" si="1"/>
        <v>120</v>
      </c>
      <c r="R22" s="15">
        <f t="shared" si="2"/>
        <v>60</v>
      </c>
      <c r="S22" s="167">
        <v>40</v>
      </c>
      <c r="T22" s="13"/>
      <c r="U22" s="14">
        <v>20</v>
      </c>
      <c r="V22" s="16">
        <v>60</v>
      </c>
      <c r="W22" s="13"/>
      <c r="X22" s="13"/>
      <c r="Y22" s="13"/>
      <c r="Z22" s="13"/>
      <c r="AA22" s="17" t="s">
        <v>67</v>
      </c>
    </row>
    <row r="23" spans="1:27" ht="24.75" customHeight="1">
      <c r="A23" s="326" t="s">
        <v>37</v>
      </c>
      <c r="B23" s="325" t="s">
        <v>74</v>
      </c>
      <c r="C23" s="159">
        <v>120</v>
      </c>
      <c r="D23" s="12">
        <f t="shared" si="3"/>
        <v>4</v>
      </c>
      <c r="E23" s="13">
        <f t="shared" si="0"/>
        <v>120</v>
      </c>
      <c r="F23" s="14">
        <f t="shared" si="5"/>
        <v>0</v>
      </c>
      <c r="G23" s="15">
        <f t="shared" si="4"/>
        <v>0</v>
      </c>
      <c r="H23" s="16"/>
      <c r="I23" s="13"/>
      <c r="J23" s="14"/>
      <c r="K23" s="16"/>
      <c r="L23" s="13"/>
      <c r="M23" s="13"/>
      <c r="N23" s="13"/>
      <c r="O23" s="13"/>
      <c r="P23" s="14"/>
      <c r="Q23" s="164">
        <f t="shared" si="1"/>
        <v>120</v>
      </c>
      <c r="R23" s="15">
        <f t="shared" si="2"/>
        <v>60</v>
      </c>
      <c r="S23" s="16">
        <v>40</v>
      </c>
      <c r="T23" s="166"/>
      <c r="U23" s="19">
        <v>20</v>
      </c>
      <c r="V23" s="20">
        <v>60</v>
      </c>
      <c r="W23" s="13"/>
      <c r="X23" s="13"/>
      <c r="Y23" s="13"/>
      <c r="Z23" s="13" t="s">
        <v>70</v>
      </c>
      <c r="AA23" s="121"/>
    </row>
    <row r="24" spans="1:27" ht="24.75" customHeight="1">
      <c r="A24" s="326" t="s">
        <v>38</v>
      </c>
      <c r="B24" s="325" t="s">
        <v>158</v>
      </c>
      <c r="C24" s="159">
        <v>60</v>
      </c>
      <c r="D24" s="12">
        <f t="shared" si="3"/>
        <v>2</v>
      </c>
      <c r="E24" s="13">
        <f t="shared" si="0"/>
        <v>60</v>
      </c>
      <c r="F24" s="14">
        <f t="shared" si="5"/>
        <v>60</v>
      </c>
      <c r="G24" s="15">
        <f t="shared" si="4"/>
        <v>24</v>
      </c>
      <c r="H24" s="16">
        <v>14</v>
      </c>
      <c r="I24" s="13"/>
      <c r="J24" s="14">
        <v>10</v>
      </c>
      <c r="K24" s="16">
        <v>36</v>
      </c>
      <c r="L24" s="13"/>
      <c r="M24" s="13"/>
      <c r="N24" s="13"/>
      <c r="O24" s="13"/>
      <c r="P24" s="14" t="s">
        <v>67</v>
      </c>
      <c r="Q24" s="164"/>
      <c r="R24" s="15">
        <f t="shared" si="2"/>
        <v>0</v>
      </c>
      <c r="S24" s="16"/>
      <c r="T24" s="166"/>
      <c r="U24" s="19"/>
      <c r="V24" s="20"/>
      <c r="W24" s="13"/>
      <c r="X24" s="13"/>
      <c r="Y24" s="13"/>
      <c r="Z24" s="13"/>
      <c r="AA24" s="121"/>
    </row>
    <row r="25" spans="1:27" ht="24.75" customHeight="1">
      <c r="A25" s="326" t="s">
        <v>39</v>
      </c>
      <c r="B25" s="325" t="s">
        <v>159</v>
      </c>
      <c r="C25" s="159">
        <v>60</v>
      </c>
      <c r="D25" s="12">
        <f t="shared" si="3"/>
        <v>2</v>
      </c>
      <c r="E25" s="13">
        <f t="shared" si="0"/>
        <v>60</v>
      </c>
      <c r="F25" s="14">
        <f t="shared" si="5"/>
        <v>60</v>
      </c>
      <c r="G25" s="15">
        <f t="shared" si="4"/>
        <v>36</v>
      </c>
      <c r="H25" s="16">
        <v>24</v>
      </c>
      <c r="I25" s="13"/>
      <c r="J25" s="14">
        <v>12</v>
      </c>
      <c r="K25" s="16">
        <v>24</v>
      </c>
      <c r="L25" s="13"/>
      <c r="M25" s="13"/>
      <c r="N25" s="13"/>
      <c r="O25" s="13"/>
      <c r="P25" s="14" t="s">
        <v>67</v>
      </c>
      <c r="Q25" s="164"/>
      <c r="R25" s="15">
        <f t="shared" si="2"/>
        <v>0</v>
      </c>
      <c r="S25" s="16"/>
      <c r="T25" s="166"/>
      <c r="U25" s="19"/>
      <c r="V25" s="20"/>
      <c r="W25" s="13"/>
      <c r="X25" s="13"/>
      <c r="Y25" s="13"/>
      <c r="Z25" s="13"/>
      <c r="AA25" s="121"/>
    </row>
    <row r="26" spans="1:27" ht="24.75" customHeight="1">
      <c r="A26" s="326" t="s">
        <v>40</v>
      </c>
      <c r="B26" s="325" t="s">
        <v>160</v>
      </c>
      <c r="C26" s="159">
        <v>120</v>
      </c>
      <c r="D26" s="12">
        <f t="shared" si="3"/>
        <v>4</v>
      </c>
      <c r="E26" s="13">
        <f t="shared" si="0"/>
        <v>120</v>
      </c>
      <c r="F26" s="14">
        <f t="shared" si="5"/>
        <v>120</v>
      </c>
      <c r="G26" s="15">
        <f t="shared" si="4"/>
        <v>48</v>
      </c>
      <c r="H26" s="16">
        <v>28</v>
      </c>
      <c r="I26" s="13"/>
      <c r="J26" s="14">
        <v>20</v>
      </c>
      <c r="K26" s="16">
        <v>72</v>
      </c>
      <c r="L26" s="13"/>
      <c r="M26" s="13"/>
      <c r="N26" s="13"/>
      <c r="O26" s="13" t="s">
        <v>70</v>
      </c>
      <c r="P26" s="14"/>
      <c r="Q26" s="164"/>
      <c r="R26" s="15">
        <f t="shared" si="2"/>
        <v>0</v>
      </c>
      <c r="S26" s="16"/>
      <c r="T26" s="166"/>
      <c r="U26" s="19"/>
      <c r="V26" s="20"/>
      <c r="W26" s="13"/>
      <c r="X26" s="13"/>
      <c r="Y26" s="13"/>
      <c r="Z26" s="13"/>
      <c r="AA26" s="121"/>
    </row>
    <row r="27" spans="1:27" ht="24.75" customHeight="1" thickBot="1">
      <c r="A27" s="326" t="s">
        <v>41</v>
      </c>
      <c r="B27" s="325" t="s">
        <v>126</v>
      </c>
      <c r="C27" s="159">
        <v>75</v>
      </c>
      <c r="D27" s="12">
        <f t="shared" si="3"/>
        <v>2.5</v>
      </c>
      <c r="E27" s="13">
        <f t="shared" si="0"/>
        <v>75</v>
      </c>
      <c r="F27" s="14">
        <f t="shared" si="5"/>
        <v>75</v>
      </c>
      <c r="G27" s="15">
        <f t="shared" si="4"/>
        <v>24</v>
      </c>
      <c r="H27" s="16">
        <v>14</v>
      </c>
      <c r="I27" s="13"/>
      <c r="J27" s="14">
        <v>10</v>
      </c>
      <c r="K27" s="16">
        <v>51</v>
      </c>
      <c r="L27" s="13"/>
      <c r="M27" s="13"/>
      <c r="N27" s="13"/>
      <c r="O27" s="13" t="s">
        <v>70</v>
      </c>
      <c r="P27" s="14"/>
      <c r="Q27" s="164"/>
      <c r="R27" s="15">
        <f t="shared" si="2"/>
        <v>0</v>
      </c>
      <c r="S27" s="16"/>
      <c r="T27" s="166"/>
      <c r="U27" s="19"/>
      <c r="V27" s="20"/>
      <c r="W27" s="13"/>
      <c r="X27" s="13"/>
      <c r="Y27" s="13"/>
      <c r="Z27" s="13"/>
      <c r="AA27" s="121"/>
    </row>
    <row r="28" spans="1:29" ht="20.25">
      <c r="A28" s="187" t="s">
        <v>55</v>
      </c>
      <c r="B28" s="327" t="s">
        <v>342</v>
      </c>
      <c r="C28" s="189">
        <v>120</v>
      </c>
      <c r="D28" s="190">
        <f t="shared" si="3"/>
        <v>4</v>
      </c>
      <c r="E28" s="191">
        <f t="shared" si="0"/>
        <v>120</v>
      </c>
      <c r="F28" s="192">
        <f t="shared" si="5"/>
        <v>120</v>
      </c>
      <c r="G28" s="193">
        <f t="shared" si="4"/>
        <v>44</v>
      </c>
      <c r="H28" s="194">
        <v>24</v>
      </c>
      <c r="I28" s="191"/>
      <c r="J28" s="192">
        <v>20</v>
      </c>
      <c r="K28" s="194">
        <v>76</v>
      </c>
      <c r="L28" s="191"/>
      <c r="M28" s="191"/>
      <c r="N28" s="191"/>
      <c r="O28" s="191"/>
      <c r="P28" s="192" t="s">
        <v>67</v>
      </c>
      <c r="Q28" s="195">
        <f>V28+W28+X28+Y28+R28</f>
        <v>0</v>
      </c>
      <c r="R28" s="193">
        <f t="shared" si="2"/>
        <v>0</v>
      </c>
      <c r="S28" s="194"/>
      <c r="T28" s="196"/>
      <c r="U28" s="197"/>
      <c r="V28" s="198"/>
      <c r="W28" s="191"/>
      <c r="X28" s="191"/>
      <c r="Y28" s="191"/>
      <c r="Z28" s="191"/>
      <c r="AA28" s="199"/>
      <c r="AC28">
        <v>6</v>
      </c>
    </row>
    <row r="29" spans="1:27" ht="21" thickBot="1">
      <c r="A29" s="200" t="s">
        <v>56</v>
      </c>
      <c r="B29" s="328" t="s">
        <v>344</v>
      </c>
      <c r="C29" s="202">
        <v>120</v>
      </c>
      <c r="D29" s="203">
        <f t="shared" si="3"/>
        <v>4</v>
      </c>
      <c r="E29" s="204">
        <f t="shared" si="0"/>
        <v>120</v>
      </c>
      <c r="F29" s="205">
        <f t="shared" si="5"/>
        <v>0</v>
      </c>
      <c r="G29" s="206">
        <f t="shared" si="4"/>
        <v>0</v>
      </c>
      <c r="H29" s="207"/>
      <c r="I29" s="204"/>
      <c r="J29" s="205"/>
      <c r="K29" s="207"/>
      <c r="L29" s="204"/>
      <c r="M29" s="204"/>
      <c r="N29" s="204"/>
      <c r="O29" s="204"/>
      <c r="P29" s="205"/>
      <c r="Q29" s="208">
        <f>V29+X29+Y29+R29</f>
        <v>120</v>
      </c>
      <c r="R29" s="206">
        <f t="shared" si="2"/>
        <v>68</v>
      </c>
      <c r="S29" s="207">
        <v>46</v>
      </c>
      <c r="T29" s="204"/>
      <c r="U29" s="205">
        <v>22</v>
      </c>
      <c r="V29" s="207">
        <v>52</v>
      </c>
      <c r="W29" s="204"/>
      <c r="X29" s="204"/>
      <c r="Y29" s="204"/>
      <c r="Z29" s="204"/>
      <c r="AA29" s="209" t="s">
        <v>67</v>
      </c>
    </row>
    <row r="30" spans="1:27" ht="20.25">
      <c r="A30" s="101" t="s">
        <v>57</v>
      </c>
      <c r="B30" s="116" t="s">
        <v>81</v>
      </c>
      <c r="C30" s="108">
        <v>300</v>
      </c>
      <c r="D30" s="109">
        <f>E30/30</f>
        <v>4.5</v>
      </c>
      <c r="E30" s="110">
        <f>F30+Q30</f>
        <v>135</v>
      </c>
      <c r="F30" s="111">
        <f t="shared" si="5"/>
        <v>135</v>
      </c>
      <c r="G30" s="112">
        <f>H30+I30+J30</f>
        <v>90</v>
      </c>
      <c r="H30" s="113"/>
      <c r="I30" s="110"/>
      <c r="J30" s="114">
        <v>90</v>
      </c>
      <c r="K30" s="174">
        <v>45</v>
      </c>
      <c r="L30" s="110"/>
      <c r="M30" s="110"/>
      <c r="N30" s="110"/>
      <c r="O30" s="110"/>
      <c r="P30" s="114" t="s">
        <v>67</v>
      </c>
      <c r="Q30" s="115">
        <f>V30+X30+Y30+R30</f>
        <v>0</v>
      </c>
      <c r="R30" s="112">
        <f t="shared" si="2"/>
        <v>0</v>
      </c>
      <c r="S30" s="113"/>
      <c r="T30" s="110"/>
      <c r="U30" s="111"/>
      <c r="V30" s="113"/>
      <c r="W30" s="110"/>
      <c r="X30" s="110"/>
      <c r="Y30" s="110"/>
      <c r="Z30" s="110"/>
      <c r="AA30" s="114"/>
    </row>
    <row r="31" spans="1:27" ht="24.75" customHeight="1" thickBot="1">
      <c r="A31" s="101" t="s">
        <v>143</v>
      </c>
      <c r="B31" s="104" t="s">
        <v>82</v>
      </c>
      <c r="C31" s="117">
        <v>285</v>
      </c>
      <c r="D31" s="22">
        <f t="shared" si="3"/>
        <v>9.5</v>
      </c>
      <c r="E31" s="23">
        <f t="shared" si="0"/>
        <v>285</v>
      </c>
      <c r="F31" s="24">
        <f>G31+K31+L31+N31</f>
        <v>0</v>
      </c>
      <c r="G31" s="118">
        <f t="shared" si="4"/>
        <v>0</v>
      </c>
      <c r="H31" s="106"/>
      <c r="I31" s="105"/>
      <c r="J31" s="107"/>
      <c r="K31" s="175"/>
      <c r="L31" s="120"/>
      <c r="M31" s="120"/>
      <c r="N31" s="120"/>
      <c r="O31" s="120"/>
      <c r="P31" s="121"/>
      <c r="Q31" s="25">
        <f>V31+W31+X31+Y31+R31</f>
        <v>285</v>
      </c>
      <c r="R31" s="118">
        <f t="shared" si="2"/>
        <v>150</v>
      </c>
      <c r="S31" s="119"/>
      <c r="T31" s="122"/>
      <c r="U31" s="123">
        <f>5*30</f>
        <v>150</v>
      </c>
      <c r="V31" s="124">
        <v>135</v>
      </c>
      <c r="W31" s="120"/>
      <c r="X31" s="120"/>
      <c r="Y31" s="120"/>
      <c r="Z31" s="120"/>
      <c r="AA31" s="121" t="s">
        <v>67</v>
      </c>
    </row>
    <row r="32" spans="1:27" ht="24.75" customHeight="1" thickBot="1">
      <c r="A32" s="125" t="s">
        <v>144</v>
      </c>
      <c r="B32" s="185" t="s">
        <v>83</v>
      </c>
      <c r="C32" s="126">
        <v>45</v>
      </c>
      <c r="D32" s="127">
        <f>E32/30</f>
        <v>1.5</v>
      </c>
      <c r="E32" s="127">
        <f t="shared" si="0"/>
        <v>45</v>
      </c>
      <c r="F32" s="128">
        <f>G32+K32+N32+M32</f>
        <v>0</v>
      </c>
      <c r="G32" s="135">
        <f t="shared" si="4"/>
        <v>0</v>
      </c>
      <c r="H32" s="179"/>
      <c r="I32" s="180"/>
      <c r="J32" s="181"/>
      <c r="K32" s="130"/>
      <c r="L32" s="127"/>
      <c r="M32" s="127"/>
      <c r="N32" s="127"/>
      <c r="O32" s="127"/>
      <c r="P32" s="131"/>
      <c r="Q32" s="132">
        <f>V32+X32+Y32+R32</f>
        <v>45</v>
      </c>
      <c r="R32" s="135">
        <f t="shared" si="2"/>
        <v>45</v>
      </c>
      <c r="S32" s="130"/>
      <c r="T32" s="133"/>
      <c r="U32" s="210">
        <v>45</v>
      </c>
      <c r="V32" s="134"/>
      <c r="W32" s="127"/>
      <c r="X32" s="127"/>
      <c r="Y32" s="127"/>
      <c r="Z32" s="211" t="s">
        <v>70</v>
      </c>
      <c r="AA32" s="131"/>
    </row>
    <row r="33" spans="1:27" ht="24.75" customHeight="1" thickBot="1">
      <c r="A33" s="28"/>
      <c r="B33" s="29" t="s">
        <v>42</v>
      </c>
      <c r="C33" s="30">
        <f>SUM(C14:C32)</f>
        <v>2400</v>
      </c>
      <c r="D33" s="31">
        <f>SUM(D14:D32)</f>
        <v>76</v>
      </c>
      <c r="E33" s="31">
        <f>SUM(E14:E32)</f>
        <v>2280</v>
      </c>
      <c r="F33" s="32">
        <f>SUM(F14:F32)</f>
        <v>1050</v>
      </c>
      <c r="G33" s="33">
        <f>SUM(G14:G29)</f>
        <v>380</v>
      </c>
      <c r="H33" s="34">
        <f>SUM(H14:H32)</f>
        <v>232</v>
      </c>
      <c r="I33" s="35">
        <f>SUM(I14:I32)</f>
        <v>0</v>
      </c>
      <c r="J33" s="35">
        <f>SUM(J14:J32)</f>
        <v>238</v>
      </c>
      <c r="K33" s="35">
        <f>SUM(K14:K32)</f>
        <v>580</v>
      </c>
      <c r="L33" s="35">
        <v>1</v>
      </c>
      <c r="M33" s="35">
        <f>SUM(M14:M32)</f>
        <v>0</v>
      </c>
      <c r="N33" s="35">
        <f>SUM(N14:N32)</f>
        <v>0</v>
      </c>
      <c r="O33" s="35">
        <v>4</v>
      </c>
      <c r="P33" s="36">
        <v>5</v>
      </c>
      <c r="Q33" s="33">
        <f>SUM(Q14:Q32)</f>
        <v>1230</v>
      </c>
      <c r="R33" s="37">
        <f>SUM(R14:R29)</f>
        <v>460</v>
      </c>
      <c r="S33" s="38">
        <f>SUM(S14:S32)</f>
        <v>294</v>
      </c>
      <c r="T33" s="31">
        <f>SUM(T14:T32)</f>
        <v>0</v>
      </c>
      <c r="U33" s="31">
        <f>SUM(U14:U32)</f>
        <v>361</v>
      </c>
      <c r="V33" s="31">
        <f>SUM(V14:V32)</f>
        <v>575</v>
      </c>
      <c r="W33" s="31">
        <v>1</v>
      </c>
      <c r="X33" s="31">
        <f>SUM(X14:X32)</f>
        <v>0</v>
      </c>
      <c r="Y33" s="31">
        <f>SUM(Y14:Y32)</f>
        <v>0</v>
      </c>
      <c r="Z33" s="31">
        <v>4</v>
      </c>
      <c r="AA33" s="142">
        <v>4</v>
      </c>
    </row>
    <row r="34" spans="1:27" ht="24.75" customHeight="1" thickBot="1">
      <c r="A34" s="589"/>
      <c r="B34" s="40" t="s">
        <v>43</v>
      </c>
      <c r="C34" s="41"/>
      <c r="D34" s="42"/>
      <c r="E34" s="43"/>
      <c r="F34" s="44"/>
      <c r="G34" s="45">
        <f>G33/J10</f>
        <v>31.666666666666668</v>
      </c>
      <c r="H34" s="46"/>
      <c r="I34" s="47"/>
      <c r="J34" s="47"/>
      <c r="K34" s="47"/>
      <c r="L34" s="47"/>
      <c r="M34" s="47"/>
      <c r="N34" s="47"/>
      <c r="O34" s="48"/>
      <c r="P34" s="49"/>
      <c r="Q34" s="44"/>
      <c r="R34" s="50">
        <f>SUM(R14:R29)/U10</f>
        <v>30.666666666666668</v>
      </c>
      <c r="S34" s="51"/>
      <c r="T34" s="41"/>
      <c r="U34" s="41"/>
      <c r="V34" s="41"/>
      <c r="W34" s="41"/>
      <c r="X34" s="41"/>
      <c r="Y34" s="41"/>
      <c r="Z34" s="52"/>
      <c r="AA34" s="143"/>
    </row>
    <row r="35" spans="1:27" ht="24.75" customHeight="1" thickBot="1">
      <c r="A35" s="590"/>
      <c r="B35" s="53" t="s">
        <v>44</v>
      </c>
      <c r="C35" s="43"/>
      <c r="D35" s="54"/>
      <c r="E35" s="43"/>
      <c r="F35" s="55"/>
      <c r="G35" s="56"/>
      <c r="H35" s="57"/>
      <c r="I35" s="43"/>
      <c r="J35" s="43"/>
      <c r="K35" s="43"/>
      <c r="L35" s="43"/>
      <c r="M35" s="43"/>
      <c r="N35" s="58"/>
      <c r="O35" s="39">
        <v>4</v>
      </c>
      <c r="P35" s="59"/>
      <c r="Q35" s="60"/>
      <c r="R35" s="61"/>
      <c r="S35" s="62"/>
      <c r="T35" s="62"/>
      <c r="U35" s="62"/>
      <c r="V35" s="62"/>
      <c r="W35" s="62"/>
      <c r="X35" s="62"/>
      <c r="Y35" s="58"/>
      <c r="Z35" s="39">
        <v>5</v>
      </c>
      <c r="AA35" s="144"/>
    </row>
    <row r="36" spans="1:27" ht="24.75" customHeight="1" thickBot="1">
      <c r="A36" s="590"/>
      <c r="B36" s="53" t="s">
        <v>45</v>
      </c>
      <c r="C36" s="43"/>
      <c r="D36" s="54"/>
      <c r="E36" s="43"/>
      <c r="F36" s="55"/>
      <c r="G36" s="58"/>
      <c r="H36" s="57"/>
      <c r="I36" s="43"/>
      <c r="J36" s="43"/>
      <c r="K36" s="43"/>
      <c r="L36" s="63"/>
      <c r="M36" s="43"/>
      <c r="N36" s="62"/>
      <c r="O36" s="56"/>
      <c r="P36" s="39">
        <v>6</v>
      </c>
      <c r="Q36" s="60"/>
      <c r="R36" s="62"/>
      <c r="S36" s="62"/>
      <c r="T36" s="62"/>
      <c r="U36" s="62"/>
      <c r="V36" s="62"/>
      <c r="W36" s="64"/>
      <c r="X36" s="62"/>
      <c r="Y36" s="62"/>
      <c r="Z36" s="56"/>
      <c r="AA36" s="39">
        <v>5</v>
      </c>
    </row>
    <row r="37" spans="1:27" ht="24.75" customHeight="1" thickBot="1">
      <c r="A37" s="590"/>
      <c r="B37" s="65" t="s">
        <v>46</v>
      </c>
      <c r="C37" s="63"/>
      <c r="D37" s="66"/>
      <c r="E37" s="63"/>
      <c r="F37" s="67"/>
      <c r="G37" s="66"/>
      <c r="H37" s="68"/>
      <c r="I37" s="69"/>
      <c r="J37" s="69"/>
      <c r="K37" s="70"/>
      <c r="L37" s="39">
        <v>1</v>
      </c>
      <c r="M37" s="71"/>
      <c r="N37" s="72"/>
      <c r="O37" s="72"/>
      <c r="P37" s="73"/>
      <c r="Q37" s="74"/>
      <c r="R37" s="64"/>
      <c r="S37" s="64"/>
      <c r="T37" s="64"/>
      <c r="U37" s="64"/>
      <c r="V37" s="75"/>
      <c r="W37" s="76">
        <v>1</v>
      </c>
      <c r="X37" s="67"/>
      <c r="Y37" s="63"/>
      <c r="Z37" s="64"/>
      <c r="AA37" s="145"/>
    </row>
    <row r="38" spans="1:27" ht="24.75" customHeight="1" thickBot="1">
      <c r="A38" s="591"/>
      <c r="B38" s="137" t="s">
        <v>47</v>
      </c>
      <c r="C38" s="77">
        <f>SUM(C34:C37)</f>
        <v>0</v>
      </c>
      <c r="D38" s="77">
        <f aca="true" t="shared" si="6" ref="D38:AA38">SUM(D34:D37)</f>
        <v>0</v>
      </c>
      <c r="E38" s="77">
        <f t="shared" si="6"/>
        <v>0</v>
      </c>
      <c r="F38" s="77">
        <f t="shared" si="6"/>
        <v>0</v>
      </c>
      <c r="G38" s="78">
        <f>SUM(G34:G37)</f>
        <v>31.666666666666668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2">
        <f t="shared" si="6"/>
        <v>0</v>
      </c>
      <c r="L38" s="39">
        <f t="shared" si="6"/>
        <v>1</v>
      </c>
      <c r="M38" s="38">
        <f t="shared" si="6"/>
        <v>0</v>
      </c>
      <c r="N38" s="31">
        <f t="shared" si="6"/>
        <v>0</v>
      </c>
      <c r="O38" s="31">
        <f t="shared" si="6"/>
        <v>4</v>
      </c>
      <c r="P38" s="31">
        <f t="shared" si="6"/>
        <v>6</v>
      </c>
      <c r="Q38" s="77">
        <f t="shared" si="6"/>
        <v>0</v>
      </c>
      <c r="R38" s="78">
        <f t="shared" si="6"/>
        <v>30.666666666666668</v>
      </c>
      <c r="S38" s="77">
        <f t="shared" si="6"/>
        <v>0</v>
      </c>
      <c r="T38" s="77">
        <f t="shared" si="6"/>
        <v>0</v>
      </c>
      <c r="U38" s="77">
        <f t="shared" si="6"/>
        <v>0</v>
      </c>
      <c r="V38" s="77">
        <f t="shared" si="6"/>
        <v>0</v>
      </c>
      <c r="W38" s="77">
        <f t="shared" si="6"/>
        <v>1</v>
      </c>
      <c r="X38" s="77">
        <f t="shared" si="6"/>
        <v>0</v>
      </c>
      <c r="Y38" s="77">
        <f t="shared" si="6"/>
        <v>0</v>
      </c>
      <c r="Z38" s="77">
        <f>SUM(Z34:Z37)</f>
        <v>5</v>
      </c>
      <c r="AA38" s="146">
        <f t="shared" si="6"/>
        <v>5</v>
      </c>
    </row>
    <row r="39" spans="1:27" ht="24.75" customHeight="1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0.25">
      <c r="A40" s="80"/>
      <c r="B40" s="80"/>
      <c r="C40" s="81"/>
      <c r="D40" s="80"/>
      <c r="E40" s="81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20.25">
      <c r="A41" s="80"/>
      <c r="B41" s="80"/>
      <c r="C41" s="81"/>
      <c r="D41" s="80"/>
      <c r="E41" s="81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</row>
    <row r="42" spans="1:27" ht="26.25">
      <c r="A42" s="1"/>
      <c r="B42" s="82" t="s">
        <v>60</v>
      </c>
      <c r="C42" s="82"/>
      <c r="D42" s="82"/>
      <c r="E42" s="82"/>
      <c r="F42" s="82"/>
      <c r="G42" s="82"/>
      <c r="H42" s="82"/>
      <c r="I42" s="82"/>
      <c r="J42" s="82"/>
      <c r="K42" s="82" t="s">
        <v>59</v>
      </c>
      <c r="L42" s="82"/>
      <c r="M42" s="82"/>
      <c r="N42" s="82"/>
      <c r="O42" s="82"/>
      <c r="P42" s="82"/>
      <c r="Q42" s="82"/>
      <c r="R42" s="83"/>
      <c r="S42" s="83"/>
      <c r="T42" s="84"/>
      <c r="U42" s="85"/>
      <c r="V42" s="85"/>
      <c r="W42" s="85"/>
      <c r="X42" s="85"/>
      <c r="Y42" s="86"/>
      <c r="Z42" s="86"/>
      <c r="AA42" s="86"/>
    </row>
    <row r="43" spans="1:27" ht="26.25">
      <c r="A43" s="87"/>
      <c r="B43" s="592"/>
      <c r="C43" s="592"/>
      <c r="D43" s="592"/>
      <c r="E43" s="592"/>
      <c r="F43" s="592"/>
      <c r="G43" s="592"/>
      <c r="H43" s="592"/>
      <c r="I43" s="592"/>
      <c r="J43" s="592"/>
      <c r="K43" s="87"/>
      <c r="L43" s="87"/>
      <c r="M43" s="87"/>
      <c r="N43" s="87"/>
      <c r="O43" s="87"/>
      <c r="P43" s="87"/>
      <c r="Q43" s="87"/>
      <c r="R43" s="87" t="s">
        <v>48</v>
      </c>
      <c r="S43" s="89"/>
      <c r="T43" s="90" t="s">
        <v>49</v>
      </c>
      <c r="U43" s="91" t="s">
        <v>50</v>
      </c>
      <c r="V43" s="91"/>
      <c r="W43" s="91"/>
      <c r="X43" s="90"/>
      <c r="Y43" s="90"/>
      <c r="Z43" s="92"/>
      <c r="AA43" s="92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2"/>
      <c r="L44" s="82"/>
      <c r="M44" s="82"/>
      <c r="N44" s="82"/>
      <c r="O44" s="82"/>
      <c r="P44" s="82"/>
      <c r="Q44" s="82"/>
      <c r="R44" s="82"/>
      <c r="S44" s="82"/>
      <c r="T44" s="84"/>
      <c r="U44" s="84"/>
      <c r="V44" s="84"/>
      <c r="W44" s="84"/>
      <c r="X44" s="93"/>
      <c r="Y44" s="93"/>
      <c r="Z44" s="94"/>
      <c r="AA44" s="94"/>
    </row>
    <row r="45" spans="1:27" ht="26.2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2" t="s">
        <v>51</v>
      </c>
      <c r="L45" s="82"/>
      <c r="M45" s="82"/>
      <c r="N45" s="82"/>
      <c r="O45" s="82"/>
      <c r="P45" s="82"/>
      <c r="Q45" s="82"/>
      <c r="R45" s="83"/>
      <c r="S45" s="83"/>
      <c r="T45" s="84"/>
      <c r="U45" s="85"/>
      <c r="V45" s="85"/>
      <c r="W45" s="85"/>
      <c r="X45" s="85"/>
      <c r="Y45" s="86"/>
      <c r="Z45" s="94"/>
      <c r="AA45" s="94"/>
    </row>
    <row r="46" spans="1:27" ht="26.2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7"/>
      <c r="L46" s="87"/>
      <c r="M46" s="87"/>
      <c r="N46" s="87"/>
      <c r="O46" s="87"/>
      <c r="P46" s="87"/>
      <c r="Q46" s="87"/>
      <c r="R46" s="87" t="s">
        <v>48</v>
      </c>
      <c r="S46" s="89"/>
      <c r="T46" s="90" t="s">
        <v>52</v>
      </c>
      <c r="U46" s="91" t="s">
        <v>50</v>
      </c>
      <c r="V46" s="91"/>
      <c r="W46" s="91"/>
      <c r="X46" s="90"/>
      <c r="Y46" s="90"/>
      <c r="Z46" s="94"/>
      <c r="AA46" s="94"/>
    </row>
  </sheetData>
  <sheetProtection/>
  <mergeCells count="42">
    <mergeCell ref="A34:A38"/>
    <mergeCell ref="B43:J43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70" zoomScaleNormal="70" zoomScalePageLayoutView="0" workbookViewId="0" topLeftCell="A1">
      <selection activeCell="AA44" sqref="A1:AA44"/>
    </sheetView>
  </sheetViews>
  <sheetFormatPr defaultColWidth="9.140625" defaultRowHeight="15"/>
  <cols>
    <col min="2" max="2" width="62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120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556" t="s">
        <v>335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150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0">F14+Q14</f>
        <v>78</v>
      </c>
      <c r="F14" s="11">
        <f aca="true" t="shared" si="1" ref="F14:F20">G14+K14+N14+M14</f>
        <v>34</v>
      </c>
      <c r="G14" s="147">
        <f>H14+I14+J14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0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148">
        <f aca="true" t="shared" si="3" ref="G15:G30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4" ref="Q15:Q30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4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148">
        <f t="shared" si="3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4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148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4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148">
        <f t="shared" si="3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4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242</v>
      </c>
      <c r="D20" s="12">
        <v>0</v>
      </c>
      <c r="E20" s="120">
        <f t="shared" si="0"/>
        <v>112</v>
      </c>
      <c r="F20" s="17">
        <f t="shared" si="1"/>
        <v>68</v>
      </c>
      <c r="G20" s="148">
        <f t="shared" si="3"/>
        <v>68</v>
      </c>
      <c r="H20" s="119">
        <f>4*17</f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4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aca="true" t="shared" si="5" ref="F21:F30">G21+K21+N21+M21</f>
        <v>50</v>
      </c>
      <c r="G21" s="148">
        <f t="shared" si="3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4"/>
        <v>66</v>
      </c>
      <c r="R21" s="15">
        <f t="shared" si="2"/>
        <v>66</v>
      </c>
      <c r="S21" s="16"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5"/>
        <v>34</v>
      </c>
      <c r="G22" s="148">
        <f t="shared" si="3"/>
        <v>34</v>
      </c>
      <c r="H22" s="16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4"/>
        <v>66</v>
      </c>
      <c r="R22" s="15">
        <f>S22+T22+U22</f>
        <v>66</v>
      </c>
      <c r="S22" s="16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5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4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5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4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5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4"/>
        <v>88</v>
      </c>
      <c r="R25" s="15"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110</v>
      </c>
      <c r="D26" s="291">
        <v>0</v>
      </c>
      <c r="E26" s="95">
        <f t="shared" si="0"/>
        <v>78</v>
      </c>
      <c r="F26" s="99">
        <f t="shared" si="5"/>
        <v>34</v>
      </c>
      <c r="G26" s="149">
        <f t="shared" si="3"/>
        <v>34</v>
      </c>
      <c r="H26" s="98">
        <v>34</v>
      </c>
      <c r="I26" s="95"/>
      <c r="J26" s="96"/>
      <c r="K26" s="98"/>
      <c r="L26" s="95"/>
      <c r="M26" s="95"/>
      <c r="N26" s="95"/>
      <c r="O26" s="95"/>
      <c r="P26" s="96"/>
      <c r="Q26" s="165">
        <f t="shared" si="4"/>
        <v>44</v>
      </c>
      <c r="R26" s="97">
        <f>S26+T26+U26</f>
        <v>44</v>
      </c>
      <c r="S26" s="98"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158">
        <v>75</v>
      </c>
      <c r="D27" s="6">
        <f>E27/30</f>
        <v>2.5</v>
      </c>
      <c r="E27" s="7">
        <f t="shared" si="0"/>
        <v>75</v>
      </c>
      <c r="F27" s="11">
        <f t="shared" si="5"/>
        <v>75</v>
      </c>
      <c r="G27" s="259">
        <f t="shared" si="3"/>
        <v>34</v>
      </c>
      <c r="H27" s="10">
        <v>18</v>
      </c>
      <c r="I27" s="7"/>
      <c r="J27" s="8">
        <v>16</v>
      </c>
      <c r="K27" s="10">
        <v>41</v>
      </c>
      <c r="L27" s="7"/>
      <c r="M27" s="7"/>
      <c r="N27" s="7"/>
      <c r="O27" s="7"/>
      <c r="P27" s="8" t="s">
        <v>88</v>
      </c>
      <c r="Q27" s="163">
        <f t="shared" si="4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151</v>
      </c>
      <c r="C28" s="159">
        <v>90</v>
      </c>
      <c r="D28" s="12">
        <f>E28/30</f>
        <v>3</v>
      </c>
      <c r="E28" s="13">
        <f t="shared" si="0"/>
        <v>90</v>
      </c>
      <c r="F28" s="17">
        <f t="shared" si="5"/>
        <v>90</v>
      </c>
      <c r="G28" s="301">
        <f t="shared" si="3"/>
        <v>34</v>
      </c>
      <c r="H28" s="16">
        <v>18</v>
      </c>
      <c r="I28" s="13"/>
      <c r="J28" s="14">
        <v>16</v>
      </c>
      <c r="K28" s="16">
        <v>56</v>
      </c>
      <c r="L28" s="13"/>
      <c r="M28" s="13"/>
      <c r="N28" s="13"/>
      <c r="O28" s="13"/>
      <c r="P28" s="14" t="s">
        <v>88</v>
      </c>
      <c r="Q28" s="164">
        <f t="shared" si="4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234" t="s">
        <v>56</v>
      </c>
      <c r="B29" s="156" t="s">
        <v>117</v>
      </c>
      <c r="C29" s="159">
        <v>78</v>
      </c>
      <c r="D29" s="12">
        <f>E29/30</f>
        <v>4</v>
      </c>
      <c r="E29" s="13">
        <f t="shared" si="0"/>
        <v>120</v>
      </c>
      <c r="F29" s="17">
        <f t="shared" si="5"/>
        <v>56</v>
      </c>
      <c r="G29" s="301">
        <f t="shared" si="3"/>
        <v>34</v>
      </c>
      <c r="H29" s="16">
        <v>20</v>
      </c>
      <c r="I29" s="13"/>
      <c r="J29" s="14">
        <v>14</v>
      </c>
      <c r="K29" s="16">
        <v>22</v>
      </c>
      <c r="L29" s="13"/>
      <c r="M29" s="13"/>
      <c r="N29" s="13"/>
      <c r="O29" s="13"/>
      <c r="P29" s="14" t="s">
        <v>91</v>
      </c>
      <c r="Q29" s="164">
        <f t="shared" si="4"/>
        <v>64</v>
      </c>
      <c r="R29" s="15">
        <f t="shared" si="2"/>
        <v>44</v>
      </c>
      <c r="S29" s="16">
        <v>26</v>
      </c>
      <c r="T29" s="166"/>
      <c r="U29" s="298">
        <v>18</v>
      </c>
      <c r="V29" s="20">
        <v>20</v>
      </c>
      <c r="W29" s="13"/>
      <c r="X29" s="13"/>
      <c r="Y29" s="13"/>
      <c r="Z29" s="13"/>
      <c r="AA29" s="121" t="s">
        <v>67</v>
      </c>
    </row>
    <row r="30" spans="1:27" ht="21" thickBot="1">
      <c r="A30" s="186" t="s">
        <v>57</v>
      </c>
      <c r="B30" s="157" t="s">
        <v>152</v>
      </c>
      <c r="C30" s="292">
        <v>90</v>
      </c>
      <c r="D30" s="291">
        <f>E30/30</f>
        <v>3</v>
      </c>
      <c r="E30" s="95">
        <f t="shared" si="0"/>
        <v>90</v>
      </c>
      <c r="F30" s="99">
        <f t="shared" si="5"/>
        <v>0</v>
      </c>
      <c r="G30" s="302">
        <f t="shared" si="3"/>
        <v>0</v>
      </c>
      <c r="H30" s="98"/>
      <c r="I30" s="95"/>
      <c r="J30" s="96"/>
      <c r="K30" s="98"/>
      <c r="L30" s="95"/>
      <c r="M30" s="95"/>
      <c r="N30" s="95"/>
      <c r="O30" s="95"/>
      <c r="P30" s="96"/>
      <c r="Q30" s="165">
        <f t="shared" si="4"/>
        <v>90</v>
      </c>
      <c r="R30" s="97">
        <f t="shared" si="2"/>
        <v>44</v>
      </c>
      <c r="S30" s="98">
        <v>22</v>
      </c>
      <c r="T30" s="250"/>
      <c r="U30" s="300">
        <v>22</v>
      </c>
      <c r="V30" s="162">
        <v>46</v>
      </c>
      <c r="W30" s="95"/>
      <c r="X30" s="95"/>
      <c r="Y30" s="95"/>
      <c r="Z30" s="95"/>
      <c r="AA30" s="107" t="s">
        <v>67</v>
      </c>
    </row>
    <row r="31" spans="1:27" ht="21" thickBot="1">
      <c r="A31" s="240"/>
      <c r="B31" s="241" t="s">
        <v>42</v>
      </c>
      <c r="C31" s="242">
        <f aca="true" t="shared" si="6" ref="C31:N31">SUM(C14:C30)</f>
        <v>2137</v>
      </c>
      <c r="D31" s="242">
        <f t="shared" si="6"/>
        <v>12.5</v>
      </c>
      <c r="E31" s="242">
        <f t="shared" si="6"/>
        <v>1515</v>
      </c>
      <c r="F31" s="242">
        <f t="shared" si="6"/>
        <v>679</v>
      </c>
      <c r="G31" s="242">
        <f t="shared" si="6"/>
        <v>560</v>
      </c>
      <c r="H31" s="242">
        <f t="shared" si="6"/>
        <v>488</v>
      </c>
      <c r="I31" s="242">
        <f t="shared" si="6"/>
        <v>10</v>
      </c>
      <c r="J31" s="242">
        <f t="shared" si="6"/>
        <v>62</v>
      </c>
      <c r="K31" s="242">
        <f t="shared" si="6"/>
        <v>119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v>0</v>
      </c>
      <c r="P31" s="242">
        <v>3</v>
      </c>
      <c r="Q31" s="39">
        <f aca="true" t="shared" si="7" ref="Q31:Y31">SUM(Q14:Q30)</f>
        <v>836</v>
      </c>
      <c r="R31" s="39">
        <f t="shared" si="7"/>
        <v>770</v>
      </c>
      <c r="S31" s="39">
        <f t="shared" si="7"/>
        <v>710</v>
      </c>
      <c r="T31" s="39">
        <f t="shared" si="7"/>
        <v>10</v>
      </c>
      <c r="U31" s="39">
        <f t="shared" si="7"/>
        <v>50</v>
      </c>
      <c r="V31" s="39">
        <f t="shared" si="7"/>
        <v>66</v>
      </c>
      <c r="W31" s="39">
        <f t="shared" si="7"/>
        <v>0</v>
      </c>
      <c r="X31" s="39">
        <f t="shared" si="7"/>
        <v>0</v>
      </c>
      <c r="Y31" s="39">
        <f t="shared" si="7"/>
        <v>0</v>
      </c>
      <c r="Z31" s="39">
        <v>0</v>
      </c>
      <c r="AA31" s="39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32.94117647058823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39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8" ref="D36:AA36">SUM(D32:D35)</f>
        <v>0</v>
      </c>
      <c r="E36" s="77">
        <f t="shared" si="8"/>
        <v>0</v>
      </c>
      <c r="F36" s="77">
        <f t="shared" si="8"/>
        <v>0</v>
      </c>
      <c r="G36" s="78">
        <f>SUM(G32:G35)</f>
        <v>32.94117647058823</v>
      </c>
      <c r="H36" s="31">
        <f t="shared" si="8"/>
        <v>0</v>
      </c>
      <c r="I36" s="31">
        <f t="shared" si="8"/>
        <v>0</v>
      </c>
      <c r="J36" s="31">
        <f t="shared" si="8"/>
        <v>0</v>
      </c>
      <c r="K36" s="32">
        <f t="shared" si="8"/>
        <v>0</v>
      </c>
      <c r="L36" s="39">
        <f t="shared" si="8"/>
        <v>0</v>
      </c>
      <c r="M36" s="38">
        <f t="shared" si="8"/>
        <v>0</v>
      </c>
      <c r="N36" s="31">
        <f t="shared" si="8"/>
        <v>0</v>
      </c>
      <c r="O36" s="31">
        <f t="shared" si="8"/>
        <v>0</v>
      </c>
      <c r="P36" s="31">
        <f t="shared" si="8"/>
        <v>3</v>
      </c>
      <c r="Q36" s="77">
        <f t="shared" si="8"/>
        <v>0</v>
      </c>
      <c r="R36" s="78">
        <f t="shared" si="8"/>
        <v>35</v>
      </c>
      <c r="S36" s="77">
        <f t="shared" si="8"/>
        <v>0</v>
      </c>
      <c r="T36" s="77">
        <f t="shared" si="8"/>
        <v>0</v>
      </c>
      <c r="U36" s="77">
        <f t="shared" si="8"/>
        <v>0</v>
      </c>
      <c r="V36" s="77">
        <f t="shared" si="8"/>
        <v>0</v>
      </c>
      <c r="W36" s="77">
        <f t="shared" si="8"/>
        <v>0</v>
      </c>
      <c r="X36" s="77">
        <f t="shared" si="8"/>
        <v>0</v>
      </c>
      <c r="Y36" s="77">
        <f t="shared" si="8"/>
        <v>0</v>
      </c>
      <c r="Z36" s="77">
        <f t="shared" si="8"/>
        <v>0</v>
      </c>
      <c r="AA36" s="146">
        <f t="shared" si="8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0"/>
  <sheetViews>
    <sheetView zoomScale="55" zoomScaleNormal="55" zoomScalePageLayoutView="0" workbookViewId="0" topLeftCell="A1">
      <selection activeCell="A6" sqref="A6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2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292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4.75" customHeight="1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300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128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129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130</v>
      </c>
      <c r="C14" s="339">
        <v>105</v>
      </c>
      <c r="D14" s="341">
        <f>E14/30</f>
        <v>3.5</v>
      </c>
      <c r="E14" s="7">
        <f aca="true" t="shared" si="0" ref="E14:E26">F14+Q14</f>
        <v>105</v>
      </c>
      <c r="F14" s="8">
        <f>G14+K14+N14+M14</f>
        <v>105</v>
      </c>
      <c r="G14" s="259">
        <f>H14+I14+J14</f>
        <v>30</v>
      </c>
      <c r="H14" s="10">
        <v>6</v>
      </c>
      <c r="I14" s="7"/>
      <c r="J14" s="11">
        <v>24</v>
      </c>
      <c r="K14" s="349">
        <v>75</v>
      </c>
      <c r="L14" s="7"/>
      <c r="M14" s="7"/>
      <c r="N14" s="7"/>
      <c r="O14" s="7" t="s">
        <v>69</v>
      </c>
      <c r="P14" s="8"/>
      <c r="Q14" s="346">
        <f aca="true" t="shared" si="1" ref="Q14:Q24">V14+X14+Y14+R14</f>
        <v>0</v>
      </c>
      <c r="R14" s="147">
        <f aca="true" t="shared" si="2" ref="R14:R26"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ht="24.75" customHeight="1">
      <c r="A15" s="409" t="s">
        <v>29</v>
      </c>
      <c r="B15" s="359" t="s">
        <v>131</v>
      </c>
      <c r="C15" s="358">
        <v>165</v>
      </c>
      <c r="D15" s="342">
        <f aca="true" t="shared" si="3" ref="D15:D26">E15/30</f>
        <v>4</v>
      </c>
      <c r="E15" s="13">
        <f t="shared" si="0"/>
        <v>120</v>
      </c>
      <c r="F15" s="14">
        <f>G15+K15+N15+M15</f>
        <v>60</v>
      </c>
      <c r="G15" s="301">
        <f aca="true" t="shared" si="4" ref="G15:G26">H15+I15+J15</f>
        <v>30</v>
      </c>
      <c r="H15" s="113"/>
      <c r="I15" s="110"/>
      <c r="J15" s="114">
        <v>30</v>
      </c>
      <c r="K15" s="174">
        <v>30</v>
      </c>
      <c r="L15" s="110"/>
      <c r="M15" s="110"/>
      <c r="N15" s="110"/>
      <c r="O15" s="110"/>
      <c r="P15" s="111" t="s">
        <v>88</v>
      </c>
      <c r="Q15" s="347">
        <f t="shared" si="1"/>
        <v>60</v>
      </c>
      <c r="R15" s="148">
        <f t="shared" si="2"/>
        <v>34</v>
      </c>
      <c r="S15" s="113"/>
      <c r="T15" s="110"/>
      <c r="U15" s="111">
        <v>34</v>
      </c>
      <c r="V15" s="113">
        <v>26</v>
      </c>
      <c r="W15" s="110"/>
      <c r="X15" s="110"/>
      <c r="Y15" s="110"/>
      <c r="Z15" s="110" t="s">
        <v>70</v>
      </c>
      <c r="AA15" s="114"/>
    </row>
    <row r="16" spans="1:27" ht="24.75" customHeight="1">
      <c r="A16" s="326" t="s">
        <v>30</v>
      </c>
      <c r="B16" s="359" t="s">
        <v>90</v>
      </c>
      <c r="C16" s="358">
        <v>135</v>
      </c>
      <c r="D16" s="342">
        <f t="shared" si="3"/>
        <v>3</v>
      </c>
      <c r="E16" s="13">
        <f t="shared" si="0"/>
        <v>90</v>
      </c>
      <c r="F16" s="14">
        <f>G16+K16+N16+M16</f>
        <v>45</v>
      </c>
      <c r="G16" s="301">
        <f t="shared" si="4"/>
        <v>30</v>
      </c>
      <c r="H16" s="113"/>
      <c r="I16" s="110"/>
      <c r="J16" s="114">
        <v>30</v>
      </c>
      <c r="K16" s="174">
        <v>15</v>
      </c>
      <c r="L16" s="110"/>
      <c r="M16" s="110"/>
      <c r="N16" s="110"/>
      <c r="O16" s="110"/>
      <c r="P16" s="111" t="s">
        <v>91</v>
      </c>
      <c r="Q16" s="347">
        <f t="shared" si="1"/>
        <v>45</v>
      </c>
      <c r="R16" s="148">
        <f t="shared" si="2"/>
        <v>34</v>
      </c>
      <c r="S16" s="113"/>
      <c r="T16" s="110"/>
      <c r="U16" s="111">
        <v>34</v>
      </c>
      <c r="V16" s="113">
        <v>11</v>
      </c>
      <c r="W16" s="110"/>
      <c r="X16" s="110"/>
      <c r="Y16" s="110"/>
      <c r="Z16" s="110"/>
      <c r="AA16" s="114" t="s">
        <v>67</v>
      </c>
    </row>
    <row r="17" spans="1:27" ht="24.75" customHeight="1">
      <c r="A17" s="326" t="s">
        <v>31</v>
      </c>
      <c r="B17" s="323" t="s">
        <v>301</v>
      </c>
      <c r="C17" s="340">
        <v>150</v>
      </c>
      <c r="D17" s="342">
        <f t="shared" si="3"/>
        <v>5</v>
      </c>
      <c r="E17" s="13">
        <f t="shared" si="0"/>
        <v>150</v>
      </c>
      <c r="F17" s="14">
        <f>G17+K17+N17+M17</f>
        <v>150</v>
      </c>
      <c r="G17" s="301">
        <f t="shared" si="4"/>
        <v>60</v>
      </c>
      <c r="H17" s="16">
        <v>20</v>
      </c>
      <c r="I17" s="13"/>
      <c r="J17" s="17">
        <v>40</v>
      </c>
      <c r="K17" s="350">
        <v>90</v>
      </c>
      <c r="L17" s="13"/>
      <c r="M17" s="13"/>
      <c r="N17" s="13"/>
      <c r="O17" s="13" t="s">
        <v>70</v>
      </c>
      <c r="P17" s="14"/>
      <c r="Q17" s="347">
        <f t="shared" si="1"/>
        <v>0</v>
      </c>
      <c r="R17" s="148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326" t="s">
        <v>32</v>
      </c>
      <c r="B18" s="323" t="s">
        <v>302</v>
      </c>
      <c r="C18" s="340">
        <v>150</v>
      </c>
      <c r="D18" s="342">
        <f t="shared" si="3"/>
        <v>5</v>
      </c>
      <c r="E18" s="13">
        <f t="shared" si="0"/>
        <v>150</v>
      </c>
      <c r="F18" s="14">
        <f aca="true" t="shared" si="5" ref="F18:F26">G18+K18+N18+M18</f>
        <v>90</v>
      </c>
      <c r="G18" s="301">
        <f t="shared" si="4"/>
        <v>48</v>
      </c>
      <c r="H18" s="16">
        <v>32</v>
      </c>
      <c r="I18" s="13"/>
      <c r="J18" s="17">
        <v>16</v>
      </c>
      <c r="K18" s="350">
        <v>42</v>
      </c>
      <c r="L18" s="13"/>
      <c r="M18" s="13"/>
      <c r="N18" s="13"/>
      <c r="O18" s="13"/>
      <c r="P18" s="14" t="s">
        <v>67</v>
      </c>
      <c r="Q18" s="347">
        <f t="shared" si="1"/>
        <v>60</v>
      </c>
      <c r="R18" s="148">
        <f t="shared" si="2"/>
        <v>30</v>
      </c>
      <c r="S18" s="16">
        <f>48-32</f>
        <v>16</v>
      </c>
      <c r="T18" s="13"/>
      <c r="U18" s="14">
        <f>30-16</f>
        <v>14</v>
      </c>
      <c r="V18" s="16">
        <v>30</v>
      </c>
      <c r="W18" s="13" t="s">
        <v>125</v>
      </c>
      <c r="X18" s="13"/>
      <c r="Y18" s="13"/>
      <c r="Z18" s="13" t="s">
        <v>70</v>
      </c>
      <c r="AA18" s="17"/>
    </row>
    <row r="19" spans="1:27" ht="24.75" customHeight="1">
      <c r="A19" s="326" t="s">
        <v>33</v>
      </c>
      <c r="B19" s="323" t="s">
        <v>303</v>
      </c>
      <c r="C19" s="340">
        <v>150</v>
      </c>
      <c r="D19" s="342">
        <f t="shared" si="3"/>
        <v>5</v>
      </c>
      <c r="E19" s="13">
        <f t="shared" si="0"/>
        <v>150</v>
      </c>
      <c r="F19" s="14">
        <f>G19+K19+N19+M19</f>
        <v>0</v>
      </c>
      <c r="G19" s="301">
        <f t="shared" si="4"/>
        <v>0</v>
      </c>
      <c r="H19" s="16"/>
      <c r="I19" s="13"/>
      <c r="J19" s="17"/>
      <c r="K19" s="350"/>
      <c r="L19" s="13"/>
      <c r="M19" s="13"/>
      <c r="N19" s="13"/>
      <c r="O19" s="13"/>
      <c r="P19" s="14"/>
      <c r="Q19" s="347">
        <f t="shared" si="1"/>
        <v>150</v>
      </c>
      <c r="R19" s="148">
        <f t="shared" si="2"/>
        <v>84</v>
      </c>
      <c r="S19" s="16"/>
      <c r="T19" s="13"/>
      <c r="U19" s="14">
        <v>84</v>
      </c>
      <c r="V19" s="16">
        <v>66</v>
      </c>
      <c r="W19" s="13"/>
      <c r="X19" s="13"/>
      <c r="Y19" s="13"/>
      <c r="Z19" s="13"/>
      <c r="AA19" s="17" t="s">
        <v>67</v>
      </c>
    </row>
    <row r="20" spans="1:27" ht="24.75" customHeight="1">
      <c r="A20" s="326" t="s">
        <v>34</v>
      </c>
      <c r="B20" s="323" t="s">
        <v>304</v>
      </c>
      <c r="C20" s="340">
        <v>180</v>
      </c>
      <c r="D20" s="342">
        <f t="shared" si="3"/>
        <v>6</v>
      </c>
      <c r="E20" s="13">
        <f t="shared" si="0"/>
        <v>180</v>
      </c>
      <c r="F20" s="14">
        <f t="shared" si="5"/>
        <v>0</v>
      </c>
      <c r="G20" s="301">
        <f t="shared" si="4"/>
        <v>0</v>
      </c>
      <c r="H20" s="16"/>
      <c r="I20" s="13"/>
      <c r="J20" s="17"/>
      <c r="K20" s="350"/>
      <c r="L20" s="13"/>
      <c r="M20" s="13"/>
      <c r="N20" s="13"/>
      <c r="O20" s="13"/>
      <c r="P20" s="14"/>
      <c r="Q20" s="347">
        <f t="shared" si="1"/>
        <v>180</v>
      </c>
      <c r="R20" s="148">
        <f t="shared" si="2"/>
        <v>120</v>
      </c>
      <c r="S20" s="16">
        <v>40</v>
      </c>
      <c r="T20" s="13"/>
      <c r="U20" s="14">
        <v>80</v>
      </c>
      <c r="V20" s="16">
        <v>60</v>
      </c>
      <c r="W20" s="13"/>
      <c r="X20" s="13"/>
      <c r="Y20" s="13"/>
      <c r="Z20" s="13" t="s">
        <v>70</v>
      </c>
      <c r="AA20" s="17"/>
    </row>
    <row r="21" spans="1:27" ht="24.75" customHeight="1">
      <c r="A21" s="326" t="s">
        <v>35</v>
      </c>
      <c r="B21" s="323" t="s">
        <v>207</v>
      </c>
      <c r="C21" s="340">
        <v>120</v>
      </c>
      <c r="D21" s="342">
        <f t="shared" si="3"/>
        <v>4</v>
      </c>
      <c r="E21" s="13">
        <f t="shared" si="0"/>
        <v>120</v>
      </c>
      <c r="F21" s="14">
        <f t="shared" si="5"/>
        <v>120</v>
      </c>
      <c r="G21" s="301">
        <f t="shared" si="4"/>
        <v>60</v>
      </c>
      <c r="H21" s="16">
        <v>20</v>
      </c>
      <c r="I21" s="13"/>
      <c r="J21" s="17">
        <v>40</v>
      </c>
      <c r="K21" s="350">
        <v>60</v>
      </c>
      <c r="L21" s="13"/>
      <c r="M21" s="13"/>
      <c r="N21" s="13"/>
      <c r="O21" s="13"/>
      <c r="P21" s="14" t="s">
        <v>67</v>
      </c>
      <c r="Q21" s="347">
        <f t="shared" si="1"/>
        <v>0</v>
      </c>
      <c r="R21" s="148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4.75" customHeight="1">
      <c r="A22" s="326" t="s">
        <v>36</v>
      </c>
      <c r="B22" s="323" t="s">
        <v>305</v>
      </c>
      <c r="C22" s="340">
        <v>300</v>
      </c>
      <c r="D22" s="342">
        <f t="shared" si="3"/>
        <v>10</v>
      </c>
      <c r="E22" s="13">
        <f t="shared" si="0"/>
        <v>300</v>
      </c>
      <c r="F22" s="14">
        <f t="shared" si="5"/>
        <v>195</v>
      </c>
      <c r="G22" s="301">
        <f t="shared" si="4"/>
        <v>134</v>
      </c>
      <c r="H22" s="16">
        <v>90</v>
      </c>
      <c r="I22" s="13"/>
      <c r="J22" s="17">
        <v>44</v>
      </c>
      <c r="K22" s="350">
        <v>61</v>
      </c>
      <c r="L22" s="13"/>
      <c r="M22" s="13"/>
      <c r="N22" s="13"/>
      <c r="O22" s="13"/>
      <c r="P22" s="14" t="s">
        <v>67</v>
      </c>
      <c r="Q22" s="347">
        <f t="shared" si="1"/>
        <v>105</v>
      </c>
      <c r="R22" s="148">
        <f t="shared" si="2"/>
        <v>68</v>
      </c>
      <c r="S22" s="16">
        <v>34</v>
      </c>
      <c r="T22" s="13"/>
      <c r="U22" s="14">
        <v>34</v>
      </c>
      <c r="V22" s="16">
        <f>52-15</f>
        <v>37</v>
      </c>
      <c r="W22" s="13"/>
      <c r="X22" s="13"/>
      <c r="Y22" s="13"/>
      <c r="Z22" s="13" t="s">
        <v>70</v>
      </c>
      <c r="AA22" s="17"/>
    </row>
    <row r="23" spans="1:27" ht="24.75" customHeight="1" thickBot="1">
      <c r="A23" s="362" t="s">
        <v>37</v>
      </c>
      <c r="B23" s="451" t="s">
        <v>297</v>
      </c>
      <c r="C23" s="340">
        <v>300</v>
      </c>
      <c r="D23" s="342">
        <f t="shared" si="3"/>
        <v>4</v>
      </c>
      <c r="E23" s="13">
        <f t="shared" si="0"/>
        <v>120</v>
      </c>
      <c r="F23" s="14">
        <f t="shared" si="5"/>
        <v>0</v>
      </c>
      <c r="G23" s="301">
        <f t="shared" si="4"/>
        <v>0</v>
      </c>
      <c r="H23" s="16"/>
      <c r="I23" s="13"/>
      <c r="J23" s="17"/>
      <c r="K23" s="350"/>
      <c r="L23" s="13"/>
      <c r="M23" s="13"/>
      <c r="N23" s="13"/>
      <c r="O23" s="13"/>
      <c r="P23" s="14"/>
      <c r="Q23" s="347">
        <f t="shared" si="1"/>
        <v>120</v>
      </c>
      <c r="R23" s="148">
        <f t="shared" si="2"/>
        <v>68</v>
      </c>
      <c r="S23" s="16">
        <v>34</v>
      </c>
      <c r="T23" s="13"/>
      <c r="U23" s="14">
        <v>34</v>
      </c>
      <c r="V23" s="16">
        <v>52</v>
      </c>
      <c r="W23" s="13"/>
      <c r="X23" s="13"/>
      <c r="Y23" s="13"/>
      <c r="Z23" s="13"/>
      <c r="AA23" s="17" t="s">
        <v>91</v>
      </c>
    </row>
    <row r="24" spans="1:27" ht="24.75" customHeight="1" thickBot="1">
      <c r="A24" s="187" t="s">
        <v>38</v>
      </c>
      <c r="B24" s="490" t="s">
        <v>137</v>
      </c>
      <c r="C24" s="489">
        <v>120</v>
      </c>
      <c r="D24" s="218">
        <f t="shared" si="3"/>
        <v>4</v>
      </c>
      <c r="E24" s="219">
        <f t="shared" si="0"/>
        <v>120</v>
      </c>
      <c r="F24" s="220">
        <f t="shared" si="5"/>
        <v>120</v>
      </c>
      <c r="G24" s="376">
        <f t="shared" si="4"/>
        <v>60</v>
      </c>
      <c r="H24" s="222">
        <v>40</v>
      </c>
      <c r="I24" s="219"/>
      <c r="J24" s="227">
        <v>20</v>
      </c>
      <c r="K24" s="377">
        <v>60</v>
      </c>
      <c r="L24" s="219"/>
      <c r="M24" s="219"/>
      <c r="N24" s="219"/>
      <c r="O24" s="219"/>
      <c r="P24" s="220" t="s">
        <v>67</v>
      </c>
      <c r="Q24" s="378">
        <f t="shared" si="1"/>
        <v>0</v>
      </c>
      <c r="R24" s="284">
        <f t="shared" si="2"/>
        <v>0</v>
      </c>
      <c r="S24" s="222"/>
      <c r="T24" s="285"/>
      <c r="U24" s="225"/>
      <c r="V24" s="226"/>
      <c r="W24" s="219"/>
      <c r="X24" s="219"/>
      <c r="Y24" s="219"/>
      <c r="Z24" s="219"/>
      <c r="AA24" s="227"/>
    </row>
    <row r="25" spans="1:27" ht="24.75" customHeight="1" thickBot="1">
      <c r="A25" s="200" t="s">
        <v>39</v>
      </c>
      <c r="B25" s="491" t="s">
        <v>306</v>
      </c>
      <c r="C25" s="489">
        <v>150</v>
      </c>
      <c r="D25" s="218">
        <f t="shared" si="3"/>
        <v>5</v>
      </c>
      <c r="E25" s="219">
        <f t="shared" si="0"/>
        <v>150</v>
      </c>
      <c r="F25" s="220">
        <f t="shared" si="5"/>
        <v>0</v>
      </c>
      <c r="G25" s="376">
        <f t="shared" si="4"/>
        <v>0</v>
      </c>
      <c r="H25" s="222"/>
      <c r="I25" s="219"/>
      <c r="J25" s="227"/>
      <c r="K25" s="377"/>
      <c r="L25" s="219"/>
      <c r="M25" s="219"/>
      <c r="N25" s="219"/>
      <c r="O25" s="219"/>
      <c r="P25" s="220"/>
      <c r="Q25" s="378">
        <f>V25+W25+X25+Y25+R25</f>
        <v>150</v>
      </c>
      <c r="R25" s="284">
        <f t="shared" si="2"/>
        <v>68</v>
      </c>
      <c r="S25" s="222">
        <v>38</v>
      </c>
      <c r="T25" s="224"/>
      <c r="U25" s="225">
        <v>30</v>
      </c>
      <c r="V25" s="226">
        <v>82</v>
      </c>
      <c r="W25" s="219"/>
      <c r="X25" s="219"/>
      <c r="Y25" s="219"/>
      <c r="Z25" s="219"/>
      <c r="AA25" s="227" t="s">
        <v>67</v>
      </c>
    </row>
    <row r="26" spans="1:27" s="239" customFormat="1" ht="24.75" customHeight="1" thickBot="1">
      <c r="A26" s="433" t="s">
        <v>40</v>
      </c>
      <c r="B26" s="454" t="s">
        <v>100</v>
      </c>
      <c r="C26" s="468">
        <v>330</v>
      </c>
      <c r="D26" s="470">
        <f t="shared" si="3"/>
        <v>6</v>
      </c>
      <c r="E26" s="211">
        <f t="shared" si="0"/>
        <v>180</v>
      </c>
      <c r="F26" s="469">
        <f t="shared" si="5"/>
        <v>0</v>
      </c>
      <c r="G26" s="462">
        <f t="shared" si="4"/>
        <v>0</v>
      </c>
      <c r="H26" s="455"/>
      <c r="I26" s="441"/>
      <c r="J26" s="444"/>
      <c r="K26" s="452"/>
      <c r="L26" s="441"/>
      <c r="M26" s="441"/>
      <c r="N26" s="441"/>
      <c r="O26" s="441"/>
      <c r="P26" s="453"/>
      <c r="Q26" s="380">
        <f>V26+X26+Y26+R26</f>
        <v>180</v>
      </c>
      <c r="R26" s="351">
        <f t="shared" si="2"/>
        <v>120</v>
      </c>
      <c r="S26" s="455"/>
      <c r="T26" s="441"/>
      <c r="U26" s="453">
        <f>30*4</f>
        <v>120</v>
      </c>
      <c r="V26" s="455">
        <f>4*15</f>
        <v>60</v>
      </c>
      <c r="W26" s="441"/>
      <c r="X26" s="441"/>
      <c r="Y26" s="441"/>
      <c r="Z26" s="441"/>
      <c r="AA26" s="444" t="s">
        <v>67</v>
      </c>
    </row>
    <row r="27" spans="1:27" ht="24.75" customHeight="1" thickBot="1">
      <c r="A27" s="28"/>
      <c r="B27" s="29" t="s">
        <v>42</v>
      </c>
      <c r="C27" s="33">
        <f>SUM(C14:C26)</f>
        <v>2355</v>
      </c>
      <c r="D27" s="38">
        <f>SUM(D14:D26)</f>
        <v>64.5</v>
      </c>
      <c r="E27" s="31">
        <f>SUM(E14:E26)</f>
        <v>1935</v>
      </c>
      <c r="F27" s="32">
        <f>SUM(F14:F26)</f>
        <v>885</v>
      </c>
      <c r="G27" s="33">
        <f>SUM(G14:G25)</f>
        <v>452</v>
      </c>
      <c r="H27" s="30">
        <f>SUM(H14:H26)</f>
        <v>208</v>
      </c>
      <c r="I27" s="31">
        <f>SUM(I14:I26)</f>
        <v>0</v>
      </c>
      <c r="J27" s="142">
        <f>SUM(J14:J26)</f>
        <v>244</v>
      </c>
      <c r="K27" s="38">
        <f>SUM(K14:K26)</f>
        <v>433</v>
      </c>
      <c r="L27" s="31">
        <v>0</v>
      </c>
      <c r="M27" s="31">
        <f>SUM(M14:M26)</f>
        <v>0</v>
      </c>
      <c r="N27" s="31">
        <f>SUM(N14:N26)</f>
        <v>0</v>
      </c>
      <c r="O27" s="31">
        <v>2</v>
      </c>
      <c r="P27" s="32">
        <v>6</v>
      </c>
      <c r="Q27" s="33">
        <f>SUM(Q14:Q26)</f>
        <v>1050</v>
      </c>
      <c r="R27" s="37">
        <f>SUM(R14:R25)</f>
        <v>506</v>
      </c>
      <c r="S27" s="38">
        <f>SUM(S14:S26)</f>
        <v>162</v>
      </c>
      <c r="T27" s="31">
        <f>SUM(T14:T26)</f>
        <v>0</v>
      </c>
      <c r="U27" s="32">
        <f>SUM(U14:U26)</f>
        <v>464</v>
      </c>
      <c r="V27" s="30">
        <f>SUM(V14:V26)</f>
        <v>424</v>
      </c>
      <c r="W27" s="31">
        <v>1</v>
      </c>
      <c r="X27" s="31">
        <v>0</v>
      </c>
      <c r="Y27" s="31">
        <v>0</v>
      </c>
      <c r="Z27" s="31">
        <v>4</v>
      </c>
      <c r="AA27" s="142">
        <v>4</v>
      </c>
    </row>
    <row r="28" spans="1:27" ht="24.75" customHeight="1" thickBot="1">
      <c r="A28" s="589"/>
      <c r="B28" s="384" t="s">
        <v>43</v>
      </c>
      <c r="C28" s="46"/>
      <c r="D28" s="387"/>
      <c r="E28" s="47"/>
      <c r="F28" s="388"/>
      <c r="G28" s="389">
        <f>G27/J10</f>
        <v>30.133333333333333</v>
      </c>
      <c r="H28" s="46"/>
      <c r="I28" s="47"/>
      <c r="J28" s="47"/>
      <c r="K28" s="47"/>
      <c r="L28" s="47"/>
      <c r="M28" s="47"/>
      <c r="N28" s="47"/>
      <c r="O28" s="48"/>
      <c r="P28" s="49"/>
      <c r="Q28" s="388"/>
      <c r="R28" s="390">
        <f>SUM(R14:R25)/U10</f>
        <v>29.764705882352942</v>
      </c>
      <c r="S28" s="391"/>
      <c r="T28" s="47"/>
      <c r="U28" s="47"/>
      <c r="V28" s="47"/>
      <c r="W28" s="47"/>
      <c r="X28" s="47"/>
      <c r="Y28" s="47"/>
      <c r="Z28" s="48"/>
      <c r="AA28" s="49"/>
    </row>
    <row r="29" spans="1:27" ht="24.75" customHeight="1" thickBot="1">
      <c r="A29" s="590"/>
      <c r="B29" s="385" t="s">
        <v>44</v>
      </c>
      <c r="C29" s="57"/>
      <c r="D29" s="54"/>
      <c r="E29" s="43"/>
      <c r="F29" s="55"/>
      <c r="G29" s="56"/>
      <c r="H29" s="57"/>
      <c r="I29" s="43"/>
      <c r="J29" s="43"/>
      <c r="K29" s="43"/>
      <c r="L29" s="43"/>
      <c r="M29" s="43"/>
      <c r="N29" s="58"/>
      <c r="O29" s="39">
        <v>2</v>
      </c>
      <c r="P29" s="59"/>
      <c r="Q29" s="60"/>
      <c r="R29" s="61"/>
      <c r="S29" s="62"/>
      <c r="T29" s="62"/>
      <c r="U29" s="62"/>
      <c r="V29" s="62"/>
      <c r="W29" s="62"/>
      <c r="X29" s="62"/>
      <c r="Y29" s="58"/>
      <c r="Z29" s="39">
        <v>4</v>
      </c>
      <c r="AA29" s="144"/>
    </row>
    <row r="30" spans="1:27" ht="24.75" customHeight="1" thickBot="1">
      <c r="A30" s="590"/>
      <c r="B30" s="385" t="s">
        <v>45</v>
      </c>
      <c r="C30" s="57"/>
      <c r="D30" s="54"/>
      <c r="E30" s="43"/>
      <c r="F30" s="55"/>
      <c r="G30" s="58"/>
      <c r="H30" s="57"/>
      <c r="I30" s="43"/>
      <c r="J30" s="43"/>
      <c r="K30" s="43"/>
      <c r="L30" s="63"/>
      <c r="M30" s="43"/>
      <c r="N30" s="62"/>
      <c r="O30" s="56"/>
      <c r="P30" s="39">
        <v>6</v>
      </c>
      <c r="Q30" s="60"/>
      <c r="R30" s="62"/>
      <c r="S30" s="62"/>
      <c r="T30" s="62"/>
      <c r="U30" s="62"/>
      <c r="V30" s="62"/>
      <c r="W30" s="64"/>
      <c r="X30" s="62"/>
      <c r="Y30" s="62"/>
      <c r="Z30" s="56"/>
      <c r="AA30" s="39">
        <v>5</v>
      </c>
    </row>
    <row r="31" spans="1:27" ht="24.75" customHeight="1" thickBot="1">
      <c r="A31" s="590"/>
      <c r="B31" s="386" t="s">
        <v>46</v>
      </c>
      <c r="C31" s="68"/>
      <c r="D31" s="70"/>
      <c r="E31" s="69"/>
      <c r="F31" s="71"/>
      <c r="G31" s="70"/>
      <c r="H31" s="68"/>
      <c r="I31" s="69"/>
      <c r="J31" s="69"/>
      <c r="K31" s="70"/>
      <c r="L31" s="39">
        <v>0</v>
      </c>
      <c r="M31" s="71"/>
      <c r="N31" s="72"/>
      <c r="O31" s="72"/>
      <c r="P31" s="73"/>
      <c r="Q31" s="392"/>
      <c r="R31" s="72"/>
      <c r="S31" s="72"/>
      <c r="T31" s="72"/>
      <c r="U31" s="72"/>
      <c r="V31" s="393"/>
      <c r="W31" s="39">
        <v>1</v>
      </c>
      <c r="X31" s="71"/>
      <c r="Y31" s="69"/>
      <c r="Z31" s="72"/>
      <c r="AA31" s="73"/>
    </row>
    <row r="32" spans="1:27" ht="24.75" customHeight="1" thickBot="1">
      <c r="A32" s="591"/>
      <c r="B32" s="137" t="s">
        <v>47</v>
      </c>
      <c r="C32" s="77">
        <f>SUM(C28:C31)</f>
        <v>0</v>
      </c>
      <c r="D32" s="77">
        <f aca="true" t="shared" si="6" ref="D32:AA32">SUM(D28:D31)</f>
        <v>0</v>
      </c>
      <c r="E32" s="77">
        <f t="shared" si="6"/>
        <v>0</v>
      </c>
      <c r="F32" s="77">
        <f t="shared" si="6"/>
        <v>0</v>
      </c>
      <c r="G32" s="78">
        <f>SUM(G28:G31)</f>
        <v>30.133333333333333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2">
        <f t="shared" si="6"/>
        <v>0</v>
      </c>
      <c r="L32" s="39">
        <f t="shared" si="6"/>
        <v>0</v>
      </c>
      <c r="M32" s="38">
        <f t="shared" si="6"/>
        <v>0</v>
      </c>
      <c r="N32" s="31">
        <f t="shared" si="6"/>
        <v>0</v>
      </c>
      <c r="O32" s="31">
        <f t="shared" si="6"/>
        <v>2</v>
      </c>
      <c r="P32" s="31">
        <f t="shared" si="6"/>
        <v>6</v>
      </c>
      <c r="Q32" s="77">
        <f t="shared" si="6"/>
        <v>0</v>
      </c>
      <c r="R32" s="78">
        <f t="shared" si="6"/>
        <v>29.764705882352942</v>
      </c>
      <c r="S32" s="77">
        <f t="shared" si="6"/>
        <v>0</v>
      </c>
      <c r="T32" s="77">
        <f t="shared" si="6"/>
        <v>0</v>
      </c>
      <c r="U32" s="77">
        <f t="shared" si="6"/>
        <v>0</v>
      </c>
      <c r="V32" s="79">
        <f t="shared" si="6"/>
        <v>0</v>
      </c>
      <c r="W32" s="39">
        <f t="shared" si="6"/>
        <v>1</v>
      </c>
      <c r="X32" s="243">
        <f t="shared" si="6"/>
        <v>0</v>
      </c>
      <c r="Y32" s="77">
        <f t="shared" si="6"/>
        <v>0</v>
      </c>
      <c r="Z32" s="77">
        <f>SUM(Z28:Z31)</f>
        <v>4</v>
      </c>
      <c r="AA32" s="146">
        <f t="shared" si="6"/>
        <v>5</v>
      </c>
    </row>
    <row r="33" spans="1:27" ht="24.75" customHeight="1">
      <c r="A33" s="80"/>
      <c r="B33" s="80"/>
      <c r="C33" s="81"/>
      <c r="D33" s="80"/>
      <c r="E33" s="81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4" spans="1:27" ht="20.25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6.25">
      <c r="A36" s="1"/>
      <c r="B36" s="82" t="s">
        <v>60</v>
      </c>
      <c r="C36" s="82"/>
      <c r="D36" s="82"/>
      <c r="E36" s="82"/>
      <c r="F36" s="82"/>
      <c r="G36" s="82"/>
      <c r="H36" s="82"/>
      <c r="I36" s="82"/>
      <c r="J36" s="82"/>
      <c r="K36" s="82" t="s">
        <v>59</v>
      </c>
      <c r="L36" s="82"/>
      <c r="M36" s="82"/>
      <c r="N36" s="82"/>
      <c r="O36" s="82"/>
      <c r="P36" s="82"/>
      <c r="Q36" s="82"/>
      <c r="R36" s="83"/>
      <c r="S36" s="83"/>
      <c r="T36" s="84"/>
      <c r="U36" s="85"/>
      <c r="V36" s="85"/>
      <c r="W36" s="85"/>
      <c r="X36" s="85"/>
      <c r="Y36" s="86"/>
      <c r="Z36" s="86"/>
      <c r="AA36" s="86"/>
    </row>
    <row r="37" spans="1:27" ht="26.25">
      <c r="A37" s="87"/>
      <c r="B37" s="592"/>
      <c r="C37" s="592"/>
      <c r="D37" s="592"/>
      <c r="E37" s="592"/>
      <c r="F37" s="592"/>
      <c r="G37" s="592"/>
      <c r="H37" s="592"/>
      <c r="I37" s="592"/>
      <c r="J37" s="592"/>
      <c r="K37" s="87"/>
      <c r="L37" s="87"/>
      <c r="M37" s="87"/>
      <c r="N37" s="87"/>
      <c r="O37" s="87"/>
      <c r="P37" s="87"/>
      <c r="Q37" s="87"/>
      <c r="R37" s="87" t="s">
        <v>48</v>
      </c>
      <c r="S37" s="89"/>
      <c r="T37" s="90" t="s">
        <v>49</v>
      </c>
      <c r="U37" s="91" t="s">
        <v>50</v>
      </c>
      <c r="V37" s="91"/>
      <c r="W37" s="91"/>
      <c r="X37" s="90"/>
      <c r="Y37" s="90"/>
      <c r="Z37" s="92"/>
      <c r="AA37" s="92"/>
    </row>
    <row r="38" spans="1:27" ht="26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2"/>
      <c r="L38" s="82"/>
      <c r="M38" s="82"/>
      <c r="N38" s="82"/>
      <c r="O38" s="82"/>
      <c r="P38" s="82"/>
      <c r="Q38" s="82"/>
      <c r="R38" s="82"/>
      <c r="S38" s="82"/>
      <c r="T38" s="84"/>
      <c r="U38" s="84"/>
      <c r="V38" s="84"/>
      <c r="W38" s="84"/>
      <c r="X38" s="93"/>
      <c r="Y38" s="93"/>
      <c r="Z38" s="94"/>
      <c r="AA38" s="94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 t="s">
        <v>51</v>
      </c>
      <c r="L39" s="82"/>
      <c r="M39" s="82"/>
      <c r="N39" s="82"/>
      <c r="O39" s="82"/>
      <c r="P39" s="82"/>
      <c r="Q39" s="82"/>
      <c r="R39" s="83"/>
      <c r="S39" s="83"/>
      <c r="T39" s="84"/>
      <c r="U39" s="85"/>
      <c r="V39" s="85"/>
      <c r="W39" s="85"/>
      <c r="X39" s="85"/>
      <c r="Y39" s="86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7"/>
      <c r="L40" s="87"/>
      <c r="M40" s="87"/>
      <c r="N40" s="87"/>
      <c r="O40" s="87"/>
      <c r="P40" s="87"/>
      <c r="Q40" s="87"/>
      <c r="R40" s="87" t="s">
        <v>48</v>
      </c>
      <c r="S40" s="89"/>
      <c r="T40" s="90" t="s">
        <v>52</v>
      </c>
      <c r="U40" s="91" t="s">
        <v>50</v>
      </c>
      <c r="V40" s="91"/>
      <c r="W40" s="91"/>
      <c r="X40" s="90"/>
      <c r="Y40" s="90"/>
      <c r="Z40" s="94"/>
      <c r="AA40" s="94"/>
    </row>
  </sheetData>
  <sheetProtection/>
  <mergeCells count="42">
    <mergeCell ref="A28:A32"/>
    <mergeCell ref="B37:J37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0"/>
  <sheetViews>
    <sheetView zoomScale="51" zoomScaleNormal="51" zoomScalePageLayoutView="0" workbookViewId="0" topLeftCell="A1">
      <selection activeCell="M11" sqref="M11:M13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120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127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128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129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100" t="s">
        <v>28</v>
      </c>
      <c r="B14" s="153" t="s">
        <v>130</v>
      </c>
      <c r="C14" s="158">
        <v>60</v>
      </c>
      <c r="D14" s="6">
        <f>E14/30</f>
        <v>2</v>
      </c>
      <c r="E14" s="7">
        <f aca="true" t="shared" si="0" ref="E14:E26">F14+Q14</f>
        <v>60</v>
      </c>
      <c r="F14" s="8">
        <f>G14+K14+N14+M14</f>
        <v>60</v>
      </c>
      <c r="G14" s="9">
        <f>H14+I14+J14</f>
        <v>30</v>
      </c>
      <c r="H14" s="10">
        <v>6</v>
      </c>
      <c r="I14" s="7"/>
      <c r="J14" s="8">
        <v>24</v>
      </c>
      <c r="K14" s="10">
        <v>30</v>
      </c>
      <c r="L14" s="7"/>
      <c r="M14" s="7"/>
      <c r="N14" s="7"/>
      <c r="O14" s="7" t="s">
        <v>69</v>
      </c>
      <c r="P14" s="8"/>
      <c r="Q14" s="163">
        <f aca="true" t="shared" si="1" ref="Q14:Q23">V14+X14+Y14+R14</f>
        <v>0</v>
      </c>
      <c r="R14" s="9">
        <f aca="true" t="shared" si="2" ref="R14:R26"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ht="24.75" customHeight="1">
      <c r="A15" s="138" t="s">
        <v>29</v>
      </c>
      <c r="B15" s="154" t="s">
        <v>131</v>
      </c>
      <c r="C15" s="159">
        <v>180</v>
      </c>
      <c r="D15" s="12">
        <f aca="true" t="shared" si="3" ref="D15:D25">E15/30</f>
        <v>6</v>
      </c>
      <c r="E15" s="13">
        <f t="shared" si="0"/>
        <v>180</v>
      </c>
      <c r="F15" s="14">
        <f>G15+K15+N15+M15</f>
        <v>120</v>
      </c>
      <c r="G15" s="15">
        <f aca="true" t="shared" si="4" ref="G15:G26">H15+I15+J15</f>
        <v>60</v>
      </c>
      <c r="H15" s="16"/>
      <c r="I15" s="13"/>
      <c r="J15" s="14">
        <f>4*15</f>
        <v>60</v>
      </c>
      <c r="K15" s="16">
        <v>60</v>
      </c>
      <c r="L15" s="13"/>
      <c r="M15" s="13"/>
      <c r="N15" s="13"/>
      <c r="O15" s="13"/>
      <c r="P15" s="14" t="s">
        <v>67</v>
      </c>
      <c r="Q15" s="164">
        <f t="shared" si="1"/>
        <v>60</v>
      </c>
      <c r="R15" s="15">
        <f t="shared" si="2"/>
        <v>34</v>
      </c>
      <c r="S15" s="16"/>
      <c r="T15" s="13"/>
      <c r="U15" s="14">
        <f>2*17</f>
        <v>34</v>
      </c>
      <c r="V15" s="16">
        <v>26</v>
      </c>
      <c r="W15" s="13"/>
      <c r="X15" s="13"/>
      <c r="Y15" s="13"/>
      <c r="Z15" s="13" t="s">
        <v>70</v>
      </c>
      <c r="AA15" s="17"/>
    </row>
    <row r="16" spans="1:27" ht="24.75" customHeight="1">
      <c r="A16" s="138" t="s">
        <v>30</v>
      </c>
      <c r="B16" s="154" t="s">
        <v>132</v>
      </c>
      <c r="C16" s="159">
        <v>135</v>
      </c>
      <c r="D16" s="12">
        <f t="shared" si="3"/>
        <v>4.5</v>
      </c>
      <c r="E16" s="13">
        <f t="shared" si="0"/>
        <v>135</v>
      </c>
      <c r="F16" s="14">
        <f aca="true" t="shared" si="5" ref="F16:F25">G16+K16+N16+M16</f>
        <v>60</v>
      </c>
      <c r="G16" s="15">
        <f t="shared" si="4"/>
        <v>30</v>
      </c>
      <c r="H16" s="16"/>
      <c r="I16" s="13"/>
      <c r="J16" s="14">
        <v>30</v>
      </c>
      <c r="K16" s="16">
        <v>30</v>
      </c>
      <c r="L16" s="13"/>
      <c r="M16" s="13"/>
      <c r="N16" s="13"/>
      <c r="O16" s="13"/>
      <c r="P16" s="14" t="s">
        <v>88</v>
      </c>
      <c r="Q16" s="164">
        <f t="shared" si="1"/>
        <v>75</v>
      </c>
      <c r="R16" s="15">
        <f t="shared" si="2"/>
        <v>34</v>
      </c>
      <c r="S16" s="16"/>
      <c r="T16" s="13"/>
      <c r="U16" s="14">
        <v>34</v>
      </c>
      <c r="V16" s="16">
        <v>41</v>
      </c>
      <c r="W16" s="13"/>
      <c r="X16" s="13"/>
      <c r="Y16" s="13"/>
      <c r="Z16" s="13"/>
      <c r="AA16" s="17" t="s">
        <v>67</v>
      </c>
    </row>
    <row r="17" spans="1:27" ht="24.75" customHeight="1">
      <c r="A17" s="138" t="s">
        <v>31</v>
      </c>
      <c r="B17" s="154" t="s">
        <v>133</v>
      </c>
      <c r="C17" s="159">
        <v>150</v>
      </c>
      <c r="D17" s="12">
        <f t="shared" si="3"/>
        <v>5</v>
      </c>
      <c r="E17" s="13">
        <f t="shared" si="0"/>
        <v>150</v>
      </c>
      <c r="F17" s="14">
        <f>G17+K17+N17+M17</f>
        <v>90</v>
      </c>
      <c r="G17" s="15">
        <f t="shared" si="4"/>
        <v>60</v>
      </c>
      <c r="H17" s="16">
        <v>36</v>
      </c>
      <c r="I17" s="13"/>
      <c r="J17" s="14">
        <v>24</v>
      </c>
      <c r="K17" s="16">
        <v>30</v>
      </c>
      <c r="L17" s="13"/>
      <c r="M17" s="13"/>
      <c r="N17" s="13"/>
      <c r="O17" s="13"/>
      <c r="P17" s="14" t="s">
        <v>67</v>
      </c>
      <c r="Q17" s="164">
        <f t="shared" si="1"/>
        <v>60</v>
      </c>
      <c r="R17" s="15">
        <f t="shared" si="2"/>
        <v>34</v>
      </c>
      <c r="S17" s="16">
        <v>18</v>
      </c>
      <c r="T17" s="13"/>
      <c r="U17" s="14">
        <v>16</v>
      </c>
      <c r="V17" s="16">
        <v>26</v>
      </c>
      <c r="W17" s="13"/>
      <c r="X17" s="13"/>
      <c r="Y17" s="13"/>
      <c r="Z17" s="13" t="s">
        <v>70</v>
      </c>
      <c r="AA17" s="17"/>
    </row>
    <row r="18" spans="1:27" ht="24.75" customHeight="1">
      <c r="A18" s="138" t="s">
        <v>32</v>
      </c>
      <c r="B18" s="154" t="s">
        <v>68</v>
      </c>
      <c r="C18" s="159">
        <v>180</v>
      </c>
      <c r="D18" s="12">
        <f t="shared" si="3"/>
        <v>6</v>
      </c>
      <c r="E18" s="13">
        <f t="shared" si="0"/>
        <v>180</v>
      </c>
      <c r="F18" s="14">
        <f t="shared" si="5"/>
        <v>180</v>
      </c>
      <c r="G18" s="15">
        <f t="shared" si="4"/>
        <v>90</v>
      </c>
      <c r="H18" s="16">
        <v>60</v>
      </c>
      <c r="I18" s="13"/>
      <c r="J18" s="14">
        <v>30</v>
      </c>
      <c r="K18" s="16">
        <v>90</v>
      </c>
      <c r="L18" s="13"/>
      <c r="M18" s="13"/>
      <c r="N18" s="13"/>
      <c r="O18" s="13" t="s">
        <v>70</v>
      </c>
      <c r="P18" s="14"/>
      <c r="Q18" s="164">
        <f t="shared" si="1"/>
        <v>0</v>
      </c>
      <c r="R18" s="15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138" t="s">
        <v>33</v>
      </c>
      <c r="B19" s="154" t="s">
        <v>66</v>
      </c>
      <c r="C19" s="159">
        <v>180</v>
      </c>
      <c r="D19" s="12">
        <f t="shared" si="3"/>
        <v>6</v>
      </c>
      <c r="E19" s="13">
        <f t="shared" si="0"/>
        <v>180</v>
      </c>
      <c r="F19" s="14">
        <f t="shared" si="5"/>
        <v>0</v>
      </c>
      <c r="G19" s="15">
        <f t="shared" si="4"/>
        <v>0</v>
      </c>
      <c r="H19" s="16"/>
      <c r="I19" s="13"/>
      <c r="J19" s="14"/>
      <c r="K19" s="16"/>
      <c r="L19" s="13"/>
      <c r="M19" s="13"/>
      <c r="N19" s="13"/>
      <c r="O19" s="13"/>
      <c r="P19" s="14"/>
      <c r="Q19" s="164">
        <f t="shared" si="1"/>
        <v>180</v>
      </c>
      <c r="R19" s="15">
        <f t="shared" si="2"/>
        <v>102</v>
      </c>
      <c r="S19" s="16">
        <v>68</v>
      </c>
      <c r="T19" s="13"/>
      <c r="U19" s="14">
        <v>34</v>
      </c>
      <c r="V19" s="16">
        <v>78</v>
      </c>
      <c r="W19" s="13" t="s">
        <v>125</v>
      </c>
      <c r="X19" s="13"/>
      <c r="Y19" s="13"/>
      <c r="Z19" s="13" t="s">
        <v>70</v>
      </c>
      <c r="AA19" s="17"/>
    </row>
    <row r="20" spans="1:27" ht="24.75" customHeight="1">
      <c r="A20" s="138" t="s">
        <v>34</v>
      </c>
      <c r="B20" s="154" t="s">
        <v>134</v>
      </c>
      <c r="C20" s="159">
        <v>150</v>
      </c>
      <c r="D20" s="12">
        <f t="shared" si="3"/>
        <v>5</v>
      </c>
      <c r="E20" s="13">
        <f t="shared" si="0"/>
        <v>150</v>
      </c>
      <c r="F20" s="14">
        <f t="shared" si="5"/>
        <v>150</v>
      </c>
      <c r="G20" s="15">
        <f t="shared" si="4"/>
        <v>90</v>
      </c>
      <c r="H20" s="16">
        <v>60</v>
      </c>
      <c r="I20" s="13"/>
      <c r="J20" s="14">
        <v>30</v>
      </c>
      <c r="K20" s="16">
        <v>60</v>
      </c>
      <c r="L20" s="13"/>
      <c r="M20" s="13"/>
      <c r="N20" s="13"/>
      <c r="O20" s="13" t="s">
        <v>70</v>
      </c>
      <c r="P20" s="14"/>
      <c r="Q20" s="164">
        <f t="shared" si="1"/>
        <v>0</v>
      </c>
      <c r="R20" s="15">
        <f t="shared" si="2"/>
        <v>0</v>
      </c>
      <c r="S20" s="16"/>
      <c r="T20" s="13"/>
      <c r="U20" s="14"/>
      <c r="V20" s="16"/>
      <c r="W20" s="13"/>
      <c r="X20" s="13"/>
      <c r="Y20" s="13"/>
      <c r="Z20" s="13"/>
      <c r="AA20" s="17"/>
    </row>
    <row r="21" spans="1:27" ht="24.75" customHeight="1">
      <c r="A21" s="138" t="s">
        <v>35</v>
      </c>
      <c r="B21" s="154" t="s">
        <v>98</v>
      </c>
      <c r="C21" s="159">
        <v>240</v>
      </c>
      <c r="D21" s="12">
        <f t="shared" si="3"/>
        <v>5</v>
      </c>
      <c r="E21" s="13">
        <f t="shared" si="0"/>
        <v>150</v>
      </c>
      <c r="F21" s="14">
        <f t="shared" si="5"/>
        <v>45</v>
      </c>
      <c r="G21" s="15">
        <f t="shared" si="4"/>
        <v>30</v>
      </c>
      <c r="H21" s="16">
        <v>16</v>
      </c>
      <c r="I21" s="13"/>
      <c r="J21" s="14">
        <v>14</v>
      </c>
      <c r="K21" s="16">
        <v>15</v>
      </c>
      <c r="L21" s="13"/>
      <c r="M21" s="13"/>
      <c r="N21" s="13"/>
      <c r="O21" s="13"/>
      <c r="P21" s="14" t="s">
        <v>91</v>
      </c>
      <c r="Q21" s="164">
        <f t="shared" si="1"/>
        <v>105</v>
      </c>
      <c r="R21" s="15">
        <f t="shared" si="2"/>
        <v>68</v>
      </c>
      <c r="S21" s="16">
        <v>34</v>
      </c>
      <c r="T21" s="13"/>
      <c r="U21" s="14">
        <v>34</v>
      </c>
      <c r="V21" s="16">
        <v>37</v>
      </c>
      <c r="W21" s="13"/>
      <c r="X21" s="13"/>
      <c r="Y21" s="13"/>
      <c r="Z21" s="13"/>
      <c r="AA21" s="17" t="s">
        <v>67</v>
      </c>
    </row>
    <row r="22" spans="1:27" ht="24.75" customHeight="1">
      <c r="A22" s="138" t="s">
        <v>36</v>
      </c>
      <c r="B22" s="155" t="s">
        <v>75</v>
      </c>
      <c r="C22" s="159">
        <v>120</v>
      </c>
      <c r="D22" s="12">
        <f t="shared" si="3"/>
        <v>4</v>
      </c>
      <c r="E22" s="13">
        <f t="shared" si="0"/>
        <v>120</v>
      </c>
      <c r="F22" s="14">
        <f t="shared" si="5"/>
        <v>0</v>
      </c>
      <c r="G22" s="15">
        <f t="shared" si="4"/>
        <v>0</v>
      </c>
      <c r="H22" s="160"/>
      <c r="I22" s="13"/>
      <c r="J22" s="14"/>
      <c r="K22" s="16"/>
      <c r="L22" s="13"/>
      <c r="M22" s="13"/>
      <c r="N22" s="13"/>
      <c r="O22" s="13"/>
      <c r="P22" s="14"/>
      <c r="Q22" s="164">
        <f t="shared" si="1"/>
        <v>120</v>
      </c>
      <c r="R22" s="15">
        <f t="shared" si="2"/>
        <v>68</v>
      </c>
      <c r="S22" s="167">
        <v>40</v>
      </c>
      <c r="T22" s="13"/>
      <c r="U22" s="14">
        <v>28</v>
      </c>
      <c r="V22" s="16">
        <v>52</v>
      </c>
      <c r="W22" s="13"/>
      <c r="X22" s="13"/>
      <c r="Y22" s="13"/>
      <c r="Z22" s="13"/>
      <c r="AA22" s="17" t="s">
        <v>67</v>
      </c>
    </row>
    <row r="23" spans="1:27" ht="24.75" customHeight="1" thickBot="1">
      <c r="A23" s="138" t="s">
        <v>37</v>
      </c>
      <c r="B23" s="156" t="s">
        <v>76</v>
      </c>
      <c r="C23" s="159">
        <v>180</v>
      </c>
      <c r="D23" s="12">
        <f t="shared" si="3"/>
        <v>6</v>
      </c>
      <c r="E23" s="13">
        <f t="shared" si="0"/>
        <v>180</v>
      </c>
      <c r="F23" s="14">
        <f t="shared" si="5"/>
        <v>0</v>
      </c>
      <c r="G23" s="15">
        <f t="shared" si="4"/>
        <v>0</v>
      </c>
      <c r="H23" s="16"/>
      <c r="I23" s="13"/>
      <c r="J23" s="14"/>
      <c r="K23" s="16"/>
      <c r="L23" s="13"/>
      <c r="M23" s="13"/>
      <c r="N23" s="13"/>
      <c r="O23" s="13"/>
      <c r="P23" s="14"/>
      <c r="Q23" s="164">
        <f t="shared" si="1"/>
        <v>180</v>
      </c>
      <c r="R23" s="15">
        <f t="shared" si="2"/>
        <v>102</v>
      </c>
      <c r="S23" s="16">
        <v>62</v>
      </c>
      <c r="T23" s="166"/>
      <c r="U23" s="19">
        <v>40</v>
      </c>
      <c r="V23" s="20">
        <v>78</v>
      </c>
      <c r="W23" s="13"/>
      <c r="X23" s="13"/>
      <c r="Y23" s="13"/>
      <c r="Z23" s="13" t="s">
        <v>70</v>
      </c>
      <c r="AA23" s="121"/>
    </row>
    <row r="24" spans="1:27" ht="24.75" customHeight="1">
      <c r="A24" s="187" t="s">
        <v>40</v>
      </c>
      <c r="B24" s="188" t="s">
        <v>135</v>
      </c>
      <c r="C24" s="189">
        <v>120</v>
      </c>
      <c r="D24" s="190">
        <f t="shared" si="3"/>
        <v>4</v>
      </c>
      <c r="E24" s="191">
        <f t="shared" si="0"/>
        <v>120</v>
      </c>
      <c r="F24" s="192">
        <f t="shared" si="5"/>
        <v>120</v>
      </c>
      <c r="G24" s="193">
        <f t="shared" si="4"/>
        <v>60</v>
      </c>
      <c r="H24" s="194">
        <v>40</v>
      </c>
      <c r="I24" s="191"/>
      <c r="J24" s="192">
        <v>20</v>
      </c>
      <c r="K24" s="194">
        <v>60</v>
      </c>
      <c r="L24" s="191"/>
      <c r="M24" s="191"/>
      <c r="N24" s="191"/>
      <c r="O24" s="191"/>
      <c r="P24" s="192" t="s">
        <v>67</v>
      </c>
      <c r="Q24" s="195">
        <f>V24+W24+X24+Y24+R24</f>
        <v>0</v>
      </c>
      <c r="R24" s="193">
        <f t="shared" si="2"/>
        <v>0</v>
      </c>
      <c r="S24" s="194"/>
      <c r="T24" s="196"/>
      <c r="U24" s="197"/>
      <c r="V24" s="198"/>
      <c r="W24" s="191"/>
      <c r="X24" s="191"/>
      <c r="Y24" s="191"/>
      <c r="Z24" s="191"/>
      <c r="AA24" s="199"/>
    </row>
    <row r="25" spans="1:27" ht="24.75" customHeight="1" thickBot="1">
      <c r="A25" s="200" t="s">
        <v>41</v>
      </c>
      <c r="B25" s="201" t="s">
        <v>346</v>
      </c>
      <c r="C25" s="202">
        <v>120</v>
      </c>
      <c r="D25" s="203">
        <f t="shared" si="3"/>
        <v>4</v>
      </c>
      <c r="E25" s="204">
        <f t="shared" si="0"/>
        <v>120</v>
      </c>
      <c r="F25" s="205">
        <f t="shared" si="5"/>
        <v>0</v>
      </c>
      <c r="G25" s="206">
        <f t="shared" si="4"/>
        <v>0</v>
      </c>
      <c r="H25" s="207"/>
      <c r="I25" s="204"/>
      <c r="J25" s="205"/>
      <c r="K25" s="207"/>
      <c r="L25" s="204"/>
      <c r="M25" s="204"/>
      <c r="N25" s="204"/>
      <c r="O25" s="204"/>
      <c r="P25" s="205"/>
      <c r="Q25" s="208">
        <f>V25+X25+Y25+R25</f>
        <v>120</v>
      </c>
      <c r="R25" s="206">
        <f t="shared" si="2"/>
        <v>68</v>
      </c>
      <c r="S25" s="207">
        <v>46</v>
      </c>
      <c r="T25" s="204"/>
      <c r="U25" s="205">
        <v>22</v>
      </c>
      <c r="V25" s="207">
        <v>52</v>
      </c>
      <c r="W25" s="204"/>
      <c r="X25" s="204"/>
      <c r="Y25" s="204"/>
      <c r="Z25" s="204"/>
      <c r="AA25" s="209" t="s">
        <v>67</v>
      </c>
    </row>
    <row r="26" spans="1:27" ht="24.75" customHeight="1" thickBot="1">
      <c r="A26" s="125" t="s">
        <v>57</v>
      </c>
      <c r="B26" s="185" t="s">
        <v>100</v>
      </c>
      <c r="C26" s="126">
        <v>360</v>
      </c>
      <c r="D26" s="127">
        <f>E26/30</f>
        <v>12</v>
      </c>
      <c r="E26" s="127">
        <f t="shared" si="0"/>
        <v>360</v>
      </c>
      <c r="F26" s="128">
        <f>G26+K26+N26+M26</f>
        <v>0</v>
      </c>
      <c r="G26" s="129">
        <f t="shared" si="4"/>
        <v>0</v>
      </c>
      <c r="H26" s="179"/>
      <c r="I26" s="180"/>
      <c r="J26" s="181"/>
      <c r="K26" s="130"/>
      <c r="L26" s="127"/>
      <c r="M26" s="127"/>
      <c r="N26" s="127"/>
      <c r="O26" s="127"/>
      <c r="P26" s="131"/>
      <c r="Q26" s="132">
        <f>V26+X26+Y26+R26</f>
        <v>360</v>
      </c>
      <c r="R26" s="129">
        <f t="shared" si="2"/>
        <v>210</v>
      </c>
      <c r="S26" s="130"/>
      <c r="T26" s="133"/>
      <c r="U26" s="210">
        <v>210</v>
      </c>
      <c r="V26" s="134">
        <v>150</v>
      </c>
      <c r="W26" s="127"/>
      <c r="X26" s="127"/>
      <c r="Y26" s="127"/>
      <c r="Z26" s="211"/>
      <c r="AA26" s="131" t="s">
        <v>67</v>
      </c>
    </row>
    <row r="27" spans="1:27" ht="24.75" customHeight="1" thickBot="1">
      <c r="A27" s="28"/>
      <c r="B27" s="29" t="s">
        <v>42</v>
      </c>
      <c r="C27" s="30">
        <f>SUM(C14:C26)</f>
        <v>2175</v>
      </c>
      <c r="D27" s="31">
        <f>SUM(D14:D26)</f>
        <v>69.5</v>
      </c>
      <c r="E27" s="31">
        <f>SUM(E14:E26)</f>
        <v>2085</v>
      </c>
      <c r="F27" s="32">
        <f>SUM(F14:F26)</f>
        <v>825</v>
      </c>
      <c r="G27" s="33">
        <f>SUM(G14:G25)</f>
        <v>450</v>
      </c>
      <c r="H27" s="34">
        <f>SUM(H14:H26)</f>
        <v>218</v>
      </c>
      <c r="I27" s="35">
        <f>SUM(I14:I26)</f>
        <v>0</v>
      </c>
      <c r="J27" s="35">
        <f>SUM(J14:J26)</f>
        <v>232</v>
      </c>
      <c r="K27" s="35">
        <f>SUM(K14:K26)</f>
        <v>375</v>
      </c>
      <c r="L27" s="35">
        <v>0</v>
      </c>
      <c r="M27" s="35">
        <f>SUM(M14:M26)</f>
        <v>0</v>
      </c>
      <c r="N27" s="35">
        <f>SUM(N14:N26)</f>
        <v>0</v>
      </c>
      <c r="O27" s="35">
        <v>3</v>
      </c>
      <c r="P27" s="36">
        <v>5</v>
      </c>
      <c r="Q27" s="33">
        <f>SUM(Q14:Q26)</f>
        <v>1260</v>
      </c>
      <c r="R27" s="37">
        <f>SUM(R14:R25)</f>
        <v>510</v>
      </c>
      <c r="S27" s="38">
        <f>SUM(S14:S26)</f>
        <v>268</v>
      </c>
      <c r="T27" s="31">
        <f>SUM(T14:T26)</f>
        <v>0</v>
      </c>
      <c r="U27" s="31">
        <f>SUM(U14:U26)</f>
        <v>452</v>
      </c>
      <c r="V27" s="31">
        <f>SUM(V14:V26)</f>
        <v>540</v>
      </c>
      <c r="W27" s="31">
        <v>1</v>
      </c>
      <c r="X27" s="31">
        <f>SUM(X14:X26)</f>
        <v>0</v>
      </c>
      <c r="Y27" s="31">
        <f>SUM(Y14:Y26)</f>
        <v>0</v>
      </c>
      <c r="Z27" s="31">
        <v>4</v>
      </c>
      <c r="AA27" s="142">
        <v>4</v>
      </c>
    </row>
    <row r="28" spans="1:27" ht="24.75" customHeight="1" thickBot="1">
      <c r="A28" s="589"/>
      <c r="B28" s="40" t="s">
        <v>43</v>
      </c>
      <c r="C28" s="41"/>
      <c r="D28" s="42"/>
      <c r="E28" s="43"/>
      <c r="F28" s="44"/>
      <c r="G28" s="45">
        <f>G27/J10</f>
        <v>30</v>
      </c>
      <c r="H28" s="46"/>
      <c r="I28" s="47"/>
      <c r="J28" s="47"/>
      <c r="K28" s="47"/>
      <c r="L28" s="47"/>
      <c r="M28" s="47"/>
      <c r="N28" s="47"/>
      <c r="O28" s="48"/>
      <c r="P28" s="49"/>
      <c r="Q28" s="44"/>
      <c r="R28" s="50">
        <f>SUM(R14:R25)/U10</f>
        <v>30</v>
      </c>
      <c r="S28" s="51"/>
      <c r="T28" s="41"/>
      <c r="U28" s="41"/>
      <c r="V28" s="41"/>
      <c r="W28" s="41"/>
      <c r="X28" s="41"/>
      <c r="Y28" s="41"/>
      <c r="Z28" s="52"/>
      <c r="AA28" s="143"/>
    </row>
    <row r="29" spans="1:27" ht="24.75" customHeight="1" thickBot="1">
      <c r="A29" s="590"/>
      <c r="B29" s="53" t="s">
        <v>44</v>
      </c>
      <c r="C29" s="43"/>
      <c r="D29" s="54"/>
      <c r="E29" s="43"/>
      <c r="F29" s="55"/>
      <c r="G29" s="56"/>
      <c r="H29" s="57"/>
      <c r="I29" s="43"/>
      <c r="J29" s="43"/>
      <c r="K29" s="43"/>
      <c r="L29" s="43"/>
      <c r="M29" s="43"/>
      <c r="N29" s="58"/>
      <c r="O29" s="39">
        <v>3</v>
      </c>
      <c r="P29" s="59"/>
      <c r="Q29" s="60"/>
      <c r="R29" s="61"/>
      <c r="S29" s="62"/>
      <c r="T29" s="62"/>
      <c r="U29" s="62"/>
      <c r="V29" s="62"/>
      <c r="W29" s="62"/>
      <c r="X29" s="62"/>
      <c r="Y29" s="58"/>
      <c r="Z29" s="39">
        <v>4</v>
      </c>
      <c r="AA29" s="144"/>
    </row>
    <row r="30" spans="1:27" ht="24.75" customHeight="1" thickBot="1">
      <c r="A30" s="590"/>
      <c r="B30" s="53" t="s">
        <v>45</v>
      </c>
      <c r="C30" s="43"/>
      <c r="D30" s="54"/>
      <c r="E30" s="43"/>
      <c r="F30" s="55"/>
      <c r="G30" s="58"/>
      <c r="H30" s="57"/>
      <c r="I30" s="43"/>
      <c r="J30" s="43"/>
      <c r="K30" s="43"/>
      <c r="L30" s="63"/>
      <c r="M30" s="43"/>
      <c r="N30" s="62"/>
      <c r="O30" s="56"/>
      <c r="P30" s="39">
        <v>5</v>
      </c>
      <c r="Q30" s="60"/>
      <c r="R30" s="62"/>
      <c r="S30" s="62"/>
      <c r="T30" s="62"/>
      <c r="U30" s="62"/>
      <c r="V30" s="62"/>
      <c r="W30" s="64"/>
      <c r="X30" s="62"/>
      <c r="Y30" s="62"/>
      <c r="Z30" s="56"/>
      <c r="AA30" s="39">
        <v>5</v>
      </c>
    </row>
    <row r="31" spans="1:27" ht="24.75" customHeight="1" thickBot="1">
      <c r="A31" s="590"/>
      <c r="B31" s="65" t="s">
        <v>46</v>
      </c>
      <c r="C31" s="63"/>
      <c r="D31" s="66"/>
      <c r="E31" s="63"/>
      <c r="F31" s="67"/>
      <c r="G31" s="66"/>
      <c r="H31" s="68"/>
      <c r="I31" s="69"/>
      <c r="J31" s="69"/>
      <c r="K31" s="70"/>
      <c r="L31" s="39">
        <v>0</v>
      </c>
      <c r="M31" s="71"/>
      <c r="N31" s="72"/>
      <c r="O31" s="72"/>
      <c r="P31" s="73"/>
      <c r="Q31" s="74"/>
      <c r="R31" s="64"/>
      <c r="S31" s="64"/>
      <c r="T31" s="64"/>
      <c r="U31" s="64"/>
      <c r="V31" s="75"/>
      <c r="W31" s="76">
        <v>1</v>
      </c>
      <c r="X31" s="67"/>
      <c r="Y31" s="63"/>
      <c r="Z31" s="64"/>
      <c r="AA31" s="145"/>
    </row>
    <row r="32" spans="1:27" ht="24.75" customHeight="1" thickBot="1">
      <c r="A32" s="591"/>
      <c r="B32" s="137" t="s">
        <v>47</v>
      </c>
      <c r="C32" s="77">
        <f>SUM(C28:C31)</f>
        <v>0</v>
      </c>
      <c r="D32" s="77">
        <f aca="true" t="shared" si="6" ref="D32:AA32">SUM(D28:D31)</f>
        <v>0</v>
      </c>
      <c r="E32" s="77">
        <f t="shared" si="6"/>
        <v>0</v>
      </c>
      <c r="F32" s="77">
        <f t="shared" si="6"/>
        <v>0</v>
      </c>
      <c r="G32" s="78">
        <f>SUM(G28:G31)</f>
        <v>30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2">
        <f t="shared" si="6"/>
        <v>0</v>
      </c>
      <c r="L32" s="39">
        <f t="shared" si="6"/>
        <v>0</v>
      </c>
      <c r="M32" s="38">
        <f t="shared" si="6"/>
        <v>0</v>
      </c>
      <c r="N32" s="31">
        <f t="shared" si="6"/>
        <v>0</v>
      </c>
      <c r="O32" s="31">
        <f t="shared" si="6"/>
        <v>3</v>
      </c>
      <c r="P32" s="31">
        <f t="shared" si="6"/>
        <v>5</v>
      </c>
      <c r="Q32" s="77">
        <f t="shared" si="6"/>
        <v>0</v>
      </c>
      <c r="R32" s="78">
        <f t="shared" si="6"/>
        <v>30</v>
      </c>
      <c r="S32" s="77">
        <f t="shared" si="6"/>
        <v>0</v>
      </c>
      <c r="T32" s="77">
        <f t="shared" si="6"/>
        <v>0</v>
      </c>
      <c r="U32" s="77">
        <f t="shared" si="6"/>
        <v>0</v>
      </c>
      <c r="V32" s="77">
        <f t="shared" si="6"/>
        <v>0</v>
      </c>
      <c r="W32" s="77">
        <f t="shared" si="6"/>
        <v>1</v>
      </c>
      <c r="X32" s="77">
        <f t="shared" si="6"/>
        <v>0</v>
      </c>
      <c r="Y32" s="77">
        <f t="shared" si="6"/>
        <v>0</v>
      </c>
      <c r="Z32" s="77">
        <f>SUM(Z28:Z31)</f>
        <v>4</v>
      </c>
      <c r="AA32" s="146">
        <f t="shared" si="6"/>
        <v>5</v>
      </c>
    </row>
    <row r="33" spans="1:27" ht="24.75" customHeight="1">
      <c r="A33" s="80"/>
      <c r="B33" s="80"/>
      <c r="C33" s="81"/>
      <c r="D33" s="80"/>
      <c r="E33" s="81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4" spans="1:27" ht="20.25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6.25">
      <c r="A36" s="1"/>
      <c r="B36" s="82" t="s">
        <v>60</v>
      </c>
      <c r="C36" s="82"/>
      <c r="D36" s="82"/>
      <c r="E36" s="82"/>
      <c r="F36" s="82"/>
      <c r="G36" s="82"/>
      <c r="H36" s="82"/>
      <c r="I36" s="82"/>
      <c r="J36" s="82"/>
      <c r="K36" s="82" t="s">
        <v>59</v>
      </c>
      <c r="L36" s="82"/>
      <c r="M36" s="82"/>
      <c r="N36" s="82"/>
      <c r="O36" s="82"/>
      <c r="P36" s="82"/>
      <c r="Q36" s="82"/>
      <c r="R36" s="83"/>
      <c r="S36" s="83"/>
      <c r="T36" s="84"/>
      <c r="U36" s="85"/>
      <c r="V36" s="85"/>
      <c r="W36" s="85"/>
      <c r="X36" s="85"/>
      <c r="Y36" s="86"/>
      <c r="Z36" s="86"/>
      <c r="AA36" s="86"/>
    </row>
    <row r="37" spans="1:27" ht="26.25">
      <c r="A37" s="87"/>
      <c r="B37" s="592"/>
      <c r="C37" s="592"/>
      <c r="D37" s="592"/>
      <c r="E37" s="592"/>
      <c r="F37" s="592"/>
      <c r="G37" s="592"/>
      <c r="H37" s="592"/>
      <c r="I37" s="592"/>
      <c r="J37" s="592"/>
      <c r="K37" s="87"/>
      <c r="L37" s="87"/>
      <c r="M37" s="87"/>
      <c r="N37" s="87"/>
      <c r="O37" s="87"/>
      <c r="P37" s="87"/>
      <c r="Q37" s="87"/>
      <c r="R37" s="87" t="s">
        <v>48</v>
      </c>
      <c r="S37" s="89"/>
      <c r="T37" s="90" t="s">
        <v>49</v>
      </c>
      <c r="U37" s="91" t="s">
        <v>50</v>
      </c>
      <c r="V37" s="91"/>
      <c r="W37" s="91"/>
      <c r="X37" s="90"/>
      <c r="Y37" s="90"/>
      <c r="Z37" s="92"/>
      <c r="AA37" s="92"/>
    </row>
    <row r="38" spans="1:27" ht="26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2"/>
      <c r="L38" s="82"/>
      <c r="M38" s="82"/>
      <c r="N38" s="82"/>
      <c r="O38" s="82"/>
      <c r="P38" s="82"/>
      <c r="Q38" s="82"/>
      <c r="R38" s="82"/>
      <c r="S38" s="82"/>
      <c r="T38" s="84"/>
      <c r="U38" s="84"/>
      <c r="V38" s="84"/>
      <c r="W38" s="84"/>
      <c r="X38" s="93"/>
      <c r="Y38" s="93"/>
      <c r="Z38" s="94"/>
      <c r="AA38" s="94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 t="s">
        <v>51</v>
      </c>
      <c r="L39" s="82"/>
      <c r="M39" s="82"/>
      <c r="N39" s="82"/>
      <c r="O39" s="82"/>
      <c r="P39" s="82"/>
      <c r="Q39" s="82"/>
      <c r="R39" s="83"/>
      <c r="S39" s="83"/>
      <c r="T39" s="84"/>
      <c r="U39" s="85"/>
      <c r="V39" s="85"/>
      <c r="W39" s="85"/>
      <c r="X39" s="85"/>
      <c r="Y39" s="86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7"/>
      <c r="L40" s="87"/>
      <c r="M40" s="87"/>
      <c r="N40" s="87"/>
      <c r="O40" s="87"/>
      <c r="P40" s="87"/>
      <c r="Q40" s="87"/>
      <c r="R40" s="87" t="s">
        <v>48</v>
      </c>
      <c r="S40" s="89"/>
      <c r="T40" s="90" t="s">
        <v>52</v>
      </c>
      <c r="U40" s="91" t="s">
        <v>50</v>
      </c>
      <c r="V40" s="91"/>
      <c r="W40" s="91"/>
      <c r="X40" s="90"/>
      <c r="Y40" s="90"/>
      <c r="Z40" s="94"/>
      <c r="AA40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28:A32"/>
    <mergeCell ref="B37:J37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1"/>
  <sheetViews>
    <sheetView zoomScale="56" zoomScaleNormal="56" zoomScalePageLayoutView="0" workbookViewId="0" topLeftCell="A4">
      <selection activeCell="AA41" sqref="A1:AA41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161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347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173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128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129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130</v>
      </c>
      <c r="C14" s="339">
        <v>45</v>
      </c>
      <c r="D14" s="341">
        <f>E14/30</f>
        <v>1.5</v>
      </c>
      <c r="E14" s="7">
        <f aca="true" t="shared" si="0" ref="E14:E27">F14+Q14</f>
        <v>45</v>
      </c>
      <c r="F14" s="8">
        <f>G14+K14+N14+M14</f>
        <v>45</v>
      </c>
      <c r="G14" s="259">
        <f>H14+I14+J14</f>
        <v>30</v>
      </c>
      <c r="H14" s="349">
        <v>6</v>
      </c>
      <c r="I14" s="7"/>
      <c r="J14" s="11">
        <v>24</v>
      </c>
      <c r="K14" s="349">
        <v>15</v>
      </c>
      <c r="L14" s="7"/>
      <c r="M14" s="7"/>
      <c r="N14" s="7"/>
      <c r="O14" s="7" t="s">
        <v>69</v>
      </c>
      <c r="P14" s="8"/>
      <c r="Q14" s="346">
        <f aca="true" t="shared" si="1" ref="Q14:Q24">V14+X14+Y14+R14</f>
        <v>0</v>
      </c>
      <c r="R14" s="147">
        <f aca="true" t="shared" si="2" ref="R14:R27"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ht="24.75" customHeight="1">
      <c r="A15" s="326" t="s">
        <v>29</v>
      </c>
      <c r="B15" s="359" t="s">
        <v>131</v>
      </c>
      <c r="C15" s="358">
        <v>180</v>
      </c>
      <c r="D15" s="342">
        <f aca="true" t="shared" si="3" ref="D15:D27">E15/30</f>
        <v>6</v>
      </c>
      <c r="E15" s="13">
        <f t="shared" si="0"/>
        <v>180</v>
      </c>
      <c r="F15" s="14">
        <f>G15+K15+N15+M15</f>
        <v>105</v>
      </c>
      <c r="G15" s="301">
        <f aca="true" t="shared" si="4" ref="G15:G27">H15+I15+J15</f>
        <v>60</v>
      </c>
      <c r="H15" s="174"/>
      <c r="I15" s="110"/>
      <c r="J15" s="114">
        <f>4*15</f>
        <v>60</v>
      </c>
      <c r="K15" s="174">
        <v>45</v>
      </c>
      <c r="L15" s="110"/>
      <c r="M15" s="110"/>
      <c r="N15" s="110"/>
      <c r="O15" s="110"/>
      <c r="P15" s="111" t="s">
        <v>67</v>
      </c>
      <c r="Q15" s="347">
        <f t="shared" si="1"/>
        <v>75</v>
      </c>
      <c r="R15" s="148">
        <f t="shared" si="2"/>
        <v>34</v>
      </c>
      <c r="S15" s="113"/>
      <c r="T15" s="110"/>
      <c r="U15" s="111">
        <v>34</v>
      </c>
      <c r="V15" s="113">
        <f>86-45</f>
        <v>41</v>
      </c>
      <c r="W15" s="110"/>
      <c r="X15" s="110"/>
      <c r="Y15" s="110"/>
      <c r="Z15" s="110" t="s">
        <v>70</v>
      </c>
      <c r="AA15" s="114"/>
    </row>
    <row r="16" spans="1:27" ht="24.75" customHeight="1">
      <c r="A16" s="326" t="s">
        <v>30</v>
      </c>
      <c r="B16" s="323" t="s">
        <v>174</v>
      </c>
      <c r="C16" s="340">
        <v>120</v>
      </c>
      <c r="D16" s="342">
        <f t="shared" si="3"/>
        <v>4</v>
      </c>
      <c r="E16" s="13">
        <f t="shared" si="0"/>
        <v>120</v>
      </c>
      <c r="F16" s="14">
        <f>G16+K16+N16+M16</f>
        <v>60</v>
      </c>
      <c r="G16" s="301">
        <f t="shared" si="4"/>
        <v>30</v>
      </c>
      <c r="H16" s="350"/>
      <c r="I16" s="13"/>
      <c r="J16" s="17">
        <v>30</v>
      </c>
      <c r="K16" s="350">
        <v>30</v>
      </c>
      <c r="L16" s="13"/>
      <c r="M16" s="13"/>
      <c r="N16" s="13"/>
      <c r="O16" s="13"/>
      <c r="P16" s="14" t="s">
        <v>88</v>
      </c>
      <c r="Q16" s="347">
        <f t="shared" si="1"/>
        <v>60</v>
      </c>
      <c r="R16" s="148">
        <f t="shared" si="2"/>
        <v>34</v>
      </c>
      <c r="S16" s="16"/>
      <c r="T16" s="13"/>
      <c r="U16" s="14">
        <v>34</v>
      </c>
      <c r="V16" s="16">
        <v>26</v>
      </c>
      <c r="W16" s="13"/>
      <c r="X16" s="13"/>
      <c r="Y16" s="13"/>
      <c r="Z16" s="13"/>
      <c r="AA16" s="17" t="s">
        <v>67</v>
      </c>
    </row>
    <row r="17" spans="1:27" ht="24.75" customHeight="1">
      <c r="A17" s="326" t="s">
        <v>31</v>
      </c>
      <c r="B17" s="323" t="s">
        <v>175</v>
      </c>
      <c r="C17" s="340">
        <v>90</v>
      </c>
      <c r="D17" s="342">
        <f t="shared" si="3"/>
        <v>3</v>
      </c>
      <c r="E17" s="13">
        <f t="shared" si="0"/>
        <v>90</v>
      </c>
      <c r="F17" s="14">
        <f aca="true" t="shared" si="5" ref="F17:F27">G17+K17+N17+M17</f>
        <v>90</v>
      </c>
      <c r="G17" s="301">
        <f t="shared" si="4"/>
        <v>60</v>
      </c>
      <c r="H17" s="350">
        <v>30</v>
      </c>
      <c r="I17" s="13"/>
      <c r="J17" s="17">
        <v>30</v>
      </c>
      <c r="K17" s="350">
        <v>30</v>
      </c>
      <c r="L17" s="13"/>
      <c r="M17" s="13"/>
      <c r="N17" s="13"/>
      <c r="O17" s="13"/>
      <c r="P17" s="14" t="s">
        <v>67</v>
      </c>
      <c r="Q17" s="347">
        <f t="shared" si="1"/>
        <v>0</v>
      </c>
      <c r="R17" s="148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326" t="s">
        <v>32</v>
      </c>
      <c r="B18" s="323" t="s">
        <v>176</v>
      </c>
      <c r="C18" s="340">
        <v>330</v>
      </c>
      <c r="D18" s="342">
        <f t="shared" si="3"/>
        <v>6</v>
      </c>
      <c r="E18" s="13">
        <f t="shared" si="0"/>
        <v>180</v>
      </c>
      <c r="F18" s="14">
        <f>G18+K18+N18+M18</f>
        <v>180</v>
      </c>
      <c r="G18" s="301">
        <f t="shared" si="4"/>
        <v>60</v>
      </c>
      <c r="H18" s="350">
        <v>30</v>
      </c>
      <c r="I18" s="13"/>
      <c r="J18" s="17">
        <v>30</v>
      </c>
      <c r="K18" s="350">
        <f>170-28-22</f>
        <v>120</v>
      </c>
      <c r="L18" s="13"/>
      <c r="M18" s="13"/>
      <c r="N18" s="13"/>
      <c r="O18" s="13" t="s">
        <v>70</v>
      </c>
      <c r="P18" s="14"/>
      <c r="Q18" s="347">
        <f t="shared" si="1"/>
        <v>0</v>
      </c>
      <c r="R18" s="148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3" t="s">
        <v>177</v>
      </c>
      <c r="C19" s="340">
        <v>300</v>
      </c>
      <c r="D19" s="342">
        <f t="shared" si="3"/>
        <v>10</v>
      </c>
      <c r="E19" s="13">
        <f t="shared" si="0"/>
        <v>300</v>
      </c>
      <c r="F19" s="14">
        <f t="shared" si="5"/>
        <v>60</v>
      </c>
      <c r="G19" s="301">
        <f t="shared" si="4"/>
        <v>30</v>
      </c>
      <c r="H19" s="350">
        <v>16</v>
      </c>
      <c r="I19" s="13"/>
      <c r="J19" s="17">
        <v>14</v>
      </c>
      <c r="K19" s="350">
        <v>30</v>
      </c>
      <c r="L19" s="13"/>
      <c r="M19" s="13"/>
      <c r="N19" s="13"/>
      <c r="O19" s="13"/>
      <c r="P19" s="14" t="s">
        <v>67</v>
      </c>
      <c r="Q19" s="347">
        <f t="shared" si="1"/>
        <v>240</v>
      </c>
      <c r="R19" s="148">
        <f t="shared" si="2"/>
        <v>136</v>
      </c>
      <c r="S19" s="16">
        <v>68</v>
      </c>
      <c r="T19" s="13"/>
      <c r="U19" s="14">
        <v>68</v>
      </c>
      <c r="V19" s="16">
        <v>104</v>
      </c>
      <c r="W19" s="13" t="s">
        <v>125</v>
      </c>
      <c r="X19" s="13"/>
      <c r="Y19" s="13"/>
      <c r="Z19" s="13" t="s">
        <v>70</v>
      </c>
      <c r="AA19" s="17"/>
    </row>
    <row r="20" spans="1:27" ht="24.75" customHeight="1">
      <c r="A20" s="326" t="s">
        <v>34</v>
      </c>
      <c r="B20" s="323" t="s">
        <v>178</v>
      </c>
      <c r="C20" s="340">
        <v>150</v>
      </c>
      <c r="D20" s="342">
        <f t="shared" si="3"/>
        <v>5</v>
      </c>
      <c r="E20" s="13">
        <f t="shared" si="0"/>
        <v>150</v>
      </c>
      <c r="F20" s="14">
        <f t="shared" si="5"/>
        <v>150</v>
      </c>
      <c r="G20" s="301">
        <f t="shared" si="4"/>
        <v>60</v>
      </c>
      <c r="H20" s="350">
        <v>30</v>
      </c>
      <c r="I20" s="13"/>
      <c r="J20" s="17">
        <v>30</v>
      </c>
      <c r="K20" s="350">
        <v>90</v>
      </c>
      <c r="L20" s="13"/>
      <c r="M20" s="13"/>
      <c r="N20" s="13"/>
      <c r="O20" s="13" t="s">
        <v>70</v>
      </c>
      <c r="P20" s="14"/>
      <c r="Q20" s="347">
        <f t="shared" si="1"/>
        <v>0</v>
      </c>
      <c r="R20" s="148">
        <f t="shared" si="2"/>
        <v>0</v>
      </c>
      <c r="S20" s="16"/>
      <c r="T20" s="13"/>
      <c r="U20" s="14"/>
      <c r="V20" s="16"/>
      <c r="W20" s="13"/>
      <c r="X20" s="13"/>
      <c r="Y20" s="13"/>
      <c r="Z20" s="13"/>
      <c r="AA20" s="17"/>
    </row>
    <row r="21" spans="1:27" ht="24.75" customHeight="1">
      <c r="A21" s="326" t="s">
        <v>35</v>
      </c>
      <c r="B21" s="323" t="s">
        <v>179</v>
      </c>
      <c r="C21" s="340">
        <v>180</v>
      </c>
      <c r="D21" s="342">
        <f t="shared" si="3"/>
        <v>6</v>
      </c>
      <c r="E21" s="13">
        <f t="shared" si="0"/>
        <v>180</v>
      </c>
      <c r="F21" s="14">
        <f t="shared" si="5"/>
        <v>0</v>
      </c>
      <c r="G21" s="301">
        <f t="shared" si="4"/>
        <v>0</v>
      </c>
      <c r="H21" s="350"/>
      <c r="I21" s="13"/>
      <c r="J21" s="17"/>
      <c r="K21" s="350"/>
      <c r="L21" s="13"/>
      <c r="M21" s="13"/>
      <c r="N21" s="13"/>
      <c r="O21" s="13"/>
      <c r="P21" s="14"/>
      <c r="Q21" s="347">
        <f t="shared" si="1"/>
        <v>180</v>
      </c>
      <c r="R21" s="148">
        <f t="shared" si="2"/>
        <v>102</v>
      </c>
      <c r="S21" s="16">
        <v>52</v>
      </c>
      <c r="T21" s="13"/>
      <c r="U21" s="14">
        <v>50</v>
      </c>
      <c r="V21" s="16">
        <v>78</v>
      </c>
      <c r="W21" s="13"/>
      <c r="X21" s="13"/>
      <c r="Y21" s="13"/>
      <c r="Z21" s="13" t="s">
        <v>70</v>
      </c>
      <c r="AA21" s="17"/>
    </row>
    <row r="22" spans="1:27" ht="20.25">
      <c r="A22" s="326" t="s">
        <v>36</v>
      </c>
      <c r="B22" s="323" t="s">
        <v>180</v>
      </c>
      <c r="C22" s="340">
        <v>120</v>
      </c>
      <c r="D22" s="342">
        <f t="shared" si="3"/>
        <v>4</v>
      </c>
      <c r="E22" s="13">
        <f t="shared" si="0"/>
        <v>120</v>
      </c>
      <c r="F22" s="14">
        <f t="shared" si="5"/>
        <v>0</v>
      </c>
      <c r="G22" s="301">
        <f t="shared" si="4"/>
        <v>0</v>
      </c>
      <c r="H22" s="350"/>
      <c r="I22" s="13"/>
      <c r="J22" s="17"/>
      <c r="K22" s="350"/>
      <c r="L22" s="13"/>
      <c r="M22" s="13"/>
      <c r="N22" s="13"/>
      <c r="O22" s="13"/>
      <c r="P22" s="14"/>
      <c r="Q22" s="347">
        <f t="shared" si="1"/>
        <v>120</v>
      </c>
      <c r="R22" s="148">
        <f t="shared" si="2"/>
        <v>68</v>
      </c>
      <c r="S22" s="16">
        <v>48</v>
      </c>
      <c r="T22" s="13"/>
      <c r="U22" s="14">
        <v>20</v>
      </c>
      <c r="V22" s="16">
        <v>52</v>
      </c>
      <c r="W22" s="13"/>
      <c r="X22" s="13"/>
      <c r="Y22" s="13"/>
      <c r="Z22" s="13" t="s">
        <v>70</v>
      </c>
      <c r="AA22" s="17"/>
    </row>
    <row r="23" spans="1:27" ht="24.75" customHeight="1">
      <c r="A23" s="326" t="s">
        <v>37</v>
      </c>
      <c r="B23" s="324" t="s">
        <v>181</v>
      </c>
      <c r="C23" s="340">
        <v>90</v>
      </c>
      <c r="D23" s="342">
        <f t="shared" si="3"/>
        <v>3</v>
      </c>
      <c r="E23" s="13">
        <f t="shared" si="0"/>
        <v>90</v>
      </c>
      <c r="F23" s="14">
        <f t="shared" si="5"/>
        <v>90</v>
      </c>
      <c r="G23" s="301">
        <f t="shared" si="4"/>
        <v>60</v>
      </c>
      <c r="H23" s="354">
        <v>30</v>
      </c>
      <c r="I23" s="13"/>
      <c r="J23" s="17">
        <v>30</v>
      </c>
      <c r="K23" s="350">
        <v>30</v>
      </c>
      <c r="L23" s="13"/>
      <c r="M23" s="13"/>
      <c r="N23" s="13"/>
      <c r="O23" s="13"/>
      <c r="P23" s="14" t="s">
        <v>67</v>
      </c>
      <c r="Q23" s="347">
        <f t="shared" si="1"/>
        <v>0</v>
      </c>
      <c r="R23" s="148">
        <f t="shared" si="2"/>
        <v>0</v>
      </c>
      <c r="S23" s="167"/>
      <c r="T23" s="13"/>
      <c r="U23" s="14"/>
      <c r="V23" s="16"/>
      <c r="W23" s="13"/>
      <c r="X23" s="13"/>
      <c r="Y23" s="13"/>
      <c r="Z23" s="13"/>
      <c r="AA23" s="17"/>
    </row>
    <row r="24" spans="1:27" ht="24.75" customHeight="1" thickBot="1">
      <c r="A24" s="326" t="s">
        <v>38</v>
      </c>
      <c r="B24" s="324" t="s">
        <v>182</v>
      </c>
      <c r="C24" s="340">
        <v>120</v>
      </c>
      <c r="D24" s="342">
        <f t="shared" si="3"/>
        <v>4</v>
      </c>
      <c r="E24" s="13">
        <f t="shared" si="0"/>
        <v>120</v>
      </c>
      <c r="F24" s="14">
        <f t="shared" si="5"/>
        <v>0</v>
      </c>
      <c r="G24" s="301">
        <f t="shared" si="4"/>
        <v>0</v>
      </c>
      <c r="H24" s="354"/>
      <c r="I24" s="13"/>
      <c r="J24" s="17"/>
      <c r="K24" s="350"/>
      <c r="L24" s="13"/>
      <c r="M24" s="13"/>
      <c r="N24" s="13"/>
      <c r="O24" s="13"/>
      <c r="P24" s="14"/>
      <c r="Q24" s="347">
        <f t="shared" si="1"/>
        <v>120</v>
      </c>
      <c r="R24" s="148">
        <f t="shared" si="2"/>
        <v>68</v>
      </c>
      <c r="S24" s="167">
        <v>34</v>
      </c>
      <c r="T24" s="13"/>
      <c r="U24" s="14">
        <v>34</v>
      </c>
      <c r="V24" s="16">
        <v>52</v>
      </c>
      <c r="W24" s="13"/>
      <c r="X24" s="13"/>
      <c r="Y24" s="13"/>
      <c r="Z24" s="13"/>
      <c r="AA24" s="17" t="s">
        <v>67</v>
      </c>
    </row>
    <row r="25" spans="1:27" ht="24.75" customHeight="1" thickBot="1">
      <c r="A25" s="187" t="s">
        <v>39</v>
      </c>
      <c r="B25" s="188" t="s">
        <v>135</v>
      </c>
      <c r="C25" s="189">
        <v>120</v>
      </c>
      <c r="D25" s="190">
        <f t="shared" si="3"/>
        <v>4</v>
      </c>
      <c r="E25" s="191">
        <f t="shared" si="0"/>
        <v>120</v>
      </c>
      <c r="F25" s="199">
        <f t="shared" si="5"/>
        <v>120</v>
      </c>
      <c r="G25" s="284">
        <f t="shared" si="4"/>
        <v>60</v>
      </c>
      <c r="H25" s="222">
        <v>40</v>
      </c>
      <c r="I25" s="219"/>
      <c r="J25" s="227">
        <v>20</v>
      </c>
      <c r="K25" s="377">
        <v>60</v>
      </c>
      <c r="L25" s="219"/>
      <c r="M25" s="219"/>
      <c r="N25" s="219"/>
      <c r="O25" s="219"/>
      <c r="P25" s="220" t="s">
        <v>67</v>
      </c>
      <c r="Q25" s="378">
        <f>V25+W25+X25+Y25+R25</f>
        <v>0</v>
      </c>
      <c r="R25" s="379">
        <f t="shared" si="2"/>
        <v>0</v>
      </c>
      <c r="S25" s="222"/>
      <c r="T25" s="224"/>
      <c r="U25" s="225"/>
      <c r="V25" s="226"/>
      <c r="W25" s="219"/>
      <c r="X25" s="219"/>
      <c r="Y25" s="219"/>
      <c r="Z25" s="219"/>
      <c r="AA25" s="227"/>
    </row>
    <row r="26" spans="1:27" ht="42" customHeight="1" thickBot="1">
      <c r="A26" s="200" t="s">
        <v>40</v>
      </c>
      <c r="B26" s="328" t="s">
        <v>348</v>
      </c>
      <c r="C26" s="202">
        <v>150</v>
      </c>
      <c r="D26" s="190">
        <f t="shared" si="3"/>
        <v>5</v>
      </c>
      <c r="E26" s="191">
        <f t="shared" si="0"/>
        <v>150</v>
      </c>
      <c r="F26" s="199">
        <f t="shared" si="5"/>
        <v>0</v>
      </c>
      <c r="G26" s="284">
        <f t="shared" si="4"/>
        <v>0</v>
      </c>
      <c r="H26" s="332"/>
      <c r="I26" s="330"/>
      <c r="J26" s="333"/>
      <c r="K26" s="395"/>
      <c r="L26" s="330"/>
      <c r="M26" s="330"/>
      <c r="N26" s="330"/>
      <c r="O26" s="330"/>
      <c r="P26" s="331"/>
      <c r="Q26" s="378">
        <f>V26+W26+X26+Y26+R26</f>
        <v>150</v>
      </c>
      <c r="R26" s="379">
        <f t="shared" si="2"/>
        <v>68</v>
      </c>
      <c r="S26" s="332">
        <v>38</v>
      </c>
      <c r="T26" s="396"/>
      <c r="U26" s="397">
        <v>30</v>
      </c>
      <c r="V26" s="398">
        <v>82</v>
      </c>
      <c r="W26" s="330"/>
      <c r="X26" s="330"/>
      <c r="Y26" s="330"/>
      <c r="Z26" s="330"/>
      <c r="AA26" s="333" t="s">
        <v>67</v>
      </c>
    </row>
    <row r="27" spans="1:27" s="239" customFormat="1" ht="24.75" customHeight="1" thickBot="1">
      <c r="A27" s="399" t="s">
        <v>41</v>
      </c>
      <c r="B27" s="400" t="s">
        <v>100</v>
      </c>
      <c r="C27" s="401">
        <v>315</v>
      </c>
      <c r="D27" s="402">
        <f t="shared" si="3"/>
        <v>6</v>
      </c>
      <c r="E27" s="403">
        <f t="shared" si="0"/>
        <v>180</v>
      </c>
      <c r="F27" s="404">
        <f t="shared" si="5"/>
        <v>0</v>
      </c>
      <c r="G27" s="405">
        <f t="shared" si="4"/>
        <v>0</v>
      </c>
      <c r="H27" s="402"/>
      <c r="I27" s="403"/>
      <c r="J27" s="394"/>
      <c r="K27" s="402"/>
      <c r="L27" s="403"/>
      <c r="M27" s="403"/>
      <c r="N27" s="403"/>
      <c r="O27" s="403"/>
      <c r="P27" s="404"/>
      <c r="Q27" s="406">
        <f>V27+X27+Y27+R27</f>
        <v>180</v>
      </c>
      <c r="R27" s="407">
        <f t="shared" si="2"/>
        <v>120</v>
      </c>
      <c r="S27" s="408"/>
      <c r="T27" s="403"/>
      <c r="U27" s="404">
        <f>30*4</f>
        <v>120</v>
      </c>
      <c r="V27" s="408">
        <f>15*4</f>
        <v>60</v>
      </c>
      <c r="W27" s="403"/>
      <c r="X27" s="403"/>
      <c r="Y27" s="403"/>
      <c r="Z27" s="403"/>
      <c r="AA27" s="394" t="s">
        <v>67</v>
      </c>
    </row>
    <row r="28" spans="1:27" ht="24.75" customHeight="1" thickBot="1">
      <c r="A28" s="240"/>
      <c r="B28" s="241" t="s">
        <v>42</v>
      </c>
      <c r="C28" s="39">
        <f aca="true" t="shared" si="6" ref="C28:N28">SUM(C14:C26)</f>
        <v>1995</v>
      </c>
      <c r="D28" s="39">
        <f t="shared" si="6"/>
        <v>61.5</v>
      </c>
      <c r="E28" s="39">
        <f t="shared" si="6"/>
        <v>1845</v>
      </c>
      <c r="F28" s="39">
        <f t="shared" si="6"/>
        <v>900</v>
      </c>
      <c r="G28" s="39">
        <f>SUM(G14:G26)</f>
        <v>450</v>
      </c>
      <c r="H28" s="39">
        <f t="shared" si="6"/>
        <v>182</v>
      </c>
      <c r="I28" s="39">
        <f t="shared" si="6"/>
        <v>0</v>
      </c>
      <c r="J28" s="39">
        <f t="shared" si="6"/>
        <v>268</v>
      </c>
      <c r="K28" s="39">
        <f t="shared" si="6"/>
        <v>450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v>3</v>
      </c>
      <c r="P28" s="39">
        <v>6</v>
      </c>
      <c r="Q28" s="39">
        <f>SUM(Q14:Q27)</f>
        <v>1125</v>
      </c>
      <c r="R28" s="329">
        <f>SUM(R14:R26)</f>
        <v>510</v>
      </c>
      <c r="S28" s="329">
        <f aca="true" t="shared" si="7" ref="S28:Y28">SUM(S14:S26)</f>
        <v>240</v>
      </c>
      <c r="T28" s="329">
        <f t="shared" si="7"/>
        <v>0</v>
      </c>
      <c r="U28" s="329">
        <f t="shared" si="7"/>
        <v>270</v>
      </c>
      <c r="V28" s="329">
        <f t="shared" si="7"/>
        <v>435</v>
      </c>
      <c r="W28" s="329">
        <v>1</v>
      </c>
      <c r="X28" s="329">
        <f t="shared" si="7"/>
        <v>0</v>
      </c>
      <c r="Y28" s="329">
        <f t="shared" si="7"/>
        <v>0</v>
      </c>
      <c r="Z28" s="329">
        <v>4</v>
      </c>
      <c r="AA28" s="329">
        <v>3</v>
      </c>
    </row>
    <row r="29" spans="1:27" ht="24.75" customHeight="1" thickBot="1">
      <c r="A29" s="589"/>
      <c r="B29" s="384" t="s">
        <v>43</v>
      </c>
      <c r="C29" s="46"/>
      <c r="D29" s="387"/>
      <c r="E29" s="47"/>
      <c r="F29" s="388"/>
      <c r="G29" s="389">
        <f>G28/J10</f>
        <v>30</v>
      </c>
      <c r="H29" s="46"/>
      <c r="I29" s="47"/>
      <c r="J29" s="47"/>
      <c r="K29" s="47"/>
      <c r="L29" s="47"/>
      <c r="M29" s="47"/>
      <c r="N29" s="47"/>
      <c r="O29" s="48"/>
      <c r="P29" s="49"/>
      <c r="Q29" s="388"/>
      <c r="R29" s="390">
        <f>SUM(R14:R26)/U10</f>
        <v>30</v>
      </c>
      <c r="S29" s="391"/>
      <c r="T29" s="47"/>
      <c r="U29" s="47"/>
      <c r="V29" s="47"/>
      <c r="W29" s="47"/>
      <c r="X29" s="47"/>
      <c r="Y29" s="47"/>
      <c r="Z29" s="48"/>
      <c r="AA29" s="49"/>
    </row>
    <row r="30" spans="1:27" ht="24.75" customHeight="1" thickBot="1">
      <c r="A30" s="590"/>
      <c r="B30" s="385" t="s">
        <v>44</v>
      </c>
      <c r="C30" s="57"/>
      <c r="D30" s="54"/>
      <c r="E30" s="43"/>
      <c r="F30" s="55"/>
      <c r="G30" s="56"/>
      <c r="H30" s="57"/>
      <c r="I30" s="43"/>
      <c r="J30" s="43"/>
      <c r="K30" s="43"/>
      <c r="L30" s="43"/>
      <c r="M30" s="43"/>
      <c r="N30" s="58"/>
      <c r="O30" s="39">
        <v>3</v>
      </c>
      <c r="P30" s="59"/>
      <c r="Q30" s="60"/>
      <c r="R30" s="61"/>
      <c r="S30" s="62"/>
      <c r="T30" s="62"/>
      <c r="U30" s="62"/>
      <c r="V30" s="62"/>
      <c r="W30" s="62"/>
      <c r="X30" s="62"/>
      <c r="Y30" s="58"/>
      <c r="Z30" s="39">
        <v>4</v>
      </c>
      <c r="AA30" s="144"/>
    </row>
    <row r="31" spans="1:27" ht="24.75" customHeight="1" thickBot="1">
      <c r="A31" s="590"/>
      <c r="B31" s="385" t="s">
        <v>45</v>
      </c>
      <c r="C31" s="57"/>
      <c r="D31" s="54"/>
      <c r="E31" s="43"/>
      <c r="F31" s="55"/>
      <c r="G31" s="58"/>
      <c r="H31" s="57"/>
      <c r="I31" s="43"/>
      <c r="J31" s="43"/>
      <c r="K31" s="43"/>
      <c r="L31" s="63"/>
      <c r="M31" s="43"/>
      <c r="N31" s="62"/>
      <c r="O31" s="56"/>
      <c r="P31" s="39">
        <v>6</v>
      </c>
      <c r="Q31" s="60"/>
      <c r="R31" s="62"/>
      <c r="S31" s="62"/>
      <c r="T31" s="62"/>
      <c r="U31" s="62"/>
      <c r="V31" s="62"/>
      <c r="W31" s="64"/>
      <c r="X31" s="62"/>
      <c r="Y31" s="62"/>
      <c r="Z31" s="56"/>
      <c r="AA31" s="39">
        <v>4</v>
      </c>
    </row>
    <row r="32" spans="1:27" ht="24.75" customHeight="1" thickBot="1">
      <c r="A32" s="590"/>
      <c r="B32" s="386" t="s">
        <v>46</v>
      </c>
      <c r="C32" s="68"/>
      <c r="D32" s="70"/>
      <c r="E32" s="69"/>
      <c r="F32" s="71"/>
      <c r="G32" s="70"/>
      <c r="H32" s="68"/>
      <c r="I32" s="69"/>
      <c r="J32" s="69"/>
      <c r="K32" s="70"/>
      <c r="L32" s="39">
        <v>0</v>
      </c>
      <c r="M32" s="71"/>
      <c r="N32" s="72"/>
      <c r="O32" s="72"/>
      <c r="P32" s="73"/>
      <c r="Q32" s="392"/>
      <c r="R32" s="72"/>
      <c r="S32" s="72"/>
      <c r="T32" s="72"/>
      <c r="U32" s="72"/>
      <c r="V32" s="393"/>
      <c r="W32" s="39">
        <v>1</v>
      </c>
      <c r="X32" s="71"/>
      <c r="Y32" s="69"/>
      <c r="Z32" s="72"/>
      <c r="AA32" s="73"/>
    </row>
    <row r="33" spans="1:27" ht="24.75" customHeight="1" thickBot="1">
      <c r="A33" s="591"/>
      <c r="B33" s="137" t="s">
        <v>47</v>
      </c>
      <c r="C33" s="77">
        <f>SUM(C29:C32)</f>
        <v>0</v>
      </c>
      <c r="D33" s="77">
        <f aca="true" t="shared" si="8" ref="D33:AA33">SUM(D29:D32)</f>
        <v>0</v>
      </c>
      <c r="E33" s="77">
        <f t="shared" si="8"/>
        <v>0</v>
      </c>
      <c r="F33" s="77">
        <f t="shared" si="8"/>
        <v>0</v>
      </c>
      <c r="G33" s="78">
        <f>SUM(G29:G32)</f>
        <v>30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2">
        <f t="shared" si="8"/>
        <v>0</v>
      </c>
      <c r="L33" s="39">
        <f t="shared" si="8"/>
        <v>0</v>
      </c>
      <c r="M33" s="38">
        <f t="shared" si="8"/>
        <v>0</v>
      </c>
      <c r="N33" s="31">
        <f t="shared" si="8"/>
        <v>0</v>
      </c>
      <c r="O33" s="31">
        <f t="shared" si="8"/>
        <v>3</v>
      </c>
      <c r="P33" s="31">
        <f t="shared" si="8"/>
        <v>6</v>
      </c>
      <c r="Q33" s="77">
        <f t="shared" si="8"/>
        <v>0</v>
      </c>
      <c r="R33" s="78">
        <f t="shared" si="8"/>
        <v>30</v>
      </c>
      <c r="S33" s="77">
        <f t="shared" si="8"/>
        <v>0</v>
      </c>
      <c r="T33" s="77">
        <f t="shared" si="8"/>
        <v>0</v>
      </c>
      <c r="U33" s="77">
        <f t="shared" si="8"/>
        <v>0</v>
      </c>
      <c r="V33" s="79">
        <f t="shared" si="8"/>
        <v>0</v>
      </c>
      <c r="W33" s="39">
        <f t="shared" si="8"/>
        <v>1</v>
      </c>
      <c r="X33" s="243">
        <f t="shared" si="8"/>
        <v>0</v>
      </c>
      <c r="Y33" s="77">
        <f t="shared" si="8"/>
        <v>0</v>
      </c>
      <c r="Z33" s="77">
        <f>SUM(Z29:Z32)</f>
        <v>4</v>
      </c>
      <c r="AA33" s="146">
        <f t="shared" si="8"/>
        <v>4</v>
      </c>
    </row>
    <row r="34" spans="1:27" ht="24.75" customHeight="1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6.25">
      <c r="A37" s="1"/>
      <c r="B37" s="82" t="s">
        <v>60</v>
      </c>
      <c r="C37" s="82"/>
      <c r="D37" s="82"/>
      <c r="E37" s="82"/>
      <c r="F37" s="82"/>
      <c r="G37" s="82"/>
      <c r="H37" s="82"/>
      <c r="I37" s="82"/>
      <c r="J37" s="82"/>
      <c r="K37" s="82" t="s">
        <v>59</v>
      </c>
      <c r="L37" s="82"/>
      <c r="M37" s="82"/>
      <c r="N37" s="82"/>
      <c r="O37" s="82"/>
      <c r="P37" s="82"/>
      <c r="Q37" s="82"/>
      <c r="R37" s="83"/>
      <c r="S37" s="83"/>
      <c r="T37" s="84"/>
      <c r="U37" s="85"/>
      <c r="V37" s="85"/>
      <c r="W37" s="85"/>
      <c r="X37" s="85"/>
      <c r="Y37" s="86"/>
      <c r="Z37" s="86"/>
      <c r="AA37" s="86"/>
    </row>
    <row r="38" spans="1:27" ht="26.25">
      <c r="A38" s="87"/>
      <c r="B38" s="592"/>
      <c r="C38" s="592"/>
      <c r="D38" s="592"/>
      <c r="E38" s="592"/>
      <c r="F38" s="592"/>
      <c r="G38" s="592"/>
      <c r="H38" s="592"/>
      <c r="I38" s="592"/>
      <c r="J38" s="592"/>
      <c r="K38" s="87"/>
      <c r="L38" s="87"/>
      <c r="M38" s="87"/>
      <c r="N38" s="87"/>
      <c r="O38" s="87"/>
      <c r="P38" s="87"/>
      <c r="Q38" s="87"/>
      <c r="R38" s="87" t="s">
        <v>48</v>
      </c>
      <c r="S38" s="89"/>
      <c r="T38" s="90" t="s">
        <v>49</v>
      </c>
      <c r="U38" s="91" t="s">
        <v>50</v>
      </c>
      <c r="V38" s="91"/>
      <c r="W38" s="91"/>
      <c r="X38" s="90"/>
      <c r="Y38" s="90"/>
      <c r="Z38" s="92"/>
      <c r="AA38" s="92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/>
      <c r="L39" s="82"/>
      <c r="M39" s="82"/>
      <c r="N39" s="82"/>
      <c r="O39" s="82"/>
      <c r="P39" s="82"/>
      <c r="Q39" s="82"/>
      <c r="R39" s="82"/>
      <c r="S39" s="82"/>
      <c r="T39" s="84"/>
      <c r="U39" s="84"/>
      <c r="V39" s="84"/>
      <c r="W39" s="84"/>
      <c r="X39" s="93"/>
      <c r="Y39" s="93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 t="s">
        <v>51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52</v>
      </c>
      <c r="U41" s="91" t="s">
        <v>50</v>
      </c>
      <c r="V41" s="91"/>
      <c r="W41" s="91"/>
      <c r="X41" s="90"/>
      <c r="Y41" s="90"/>
      <c r="Z41" s="94"/>
      <c r="AA41" s="94"/>
    </row>
  </sheetData>
  <sheetProtection/>
  <mergeCells count="42">
    <mergeCell ref="A29:A33"/>
    <mergeCell ref="B38:J38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2"/>
  <sheetViews>
    <sheetView zoomScale="51" zoomScaleNormal="51" zoomScalePageLayoutView="0" workbookViewId="0" topLeftCell="A8">
      <selection activeCell="AO22" sqref="AO22"/>
    </sheetView>
  </sheetViews>
  <sheetFormatPr defaultColWidth="9.140625" defaultRowHeight="15"/>
  <cols>
    <col min="2" max="2" width="109.8515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67.5" customHeight="1">
      <c r="A5" s="1" t="s">
        <v>5</v>
      </c>
      <c r="B5" s="1"/>
      <c r="C5" s="559" t="s">
        <v>212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237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128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129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130</v>
      </c>
      <c r="C14" s="339">
        <v>60</v>
      </c>
      <c r="D14" s="341">
        <f>E14/30</f>
        <v>2</v>
      </c>
      <c r="E14" s="7">
        <f aca="true" t="shared" si="0" ref="E14:E28">F14+Q14</f>
        <v>60</v>
      </c>
      <c r="F14" s="8">
        <f>G14+K14+N14+M14</f>
        <v>60</v>
      </c>
      <c r="G14" s="259">
        <f>H14+I14+J14</f>
        <v>30</v>
      </c>
      <c r="H14" s="349">
        <v>6</v>
      </c>
      <c r="I14" s="7"/>
      <c r="J14" s="11">
        <v>24</v>
      </c>
      <c r="K14" s="349">
        <v>30</v>
      </c>
      <c r="L14" s="7"/>
      <c r="M14" s="7"/>
      <c r="N14" s="7"/>
      <c r="O14" s="7" t="s">
        <v>69</v>
      </c>
      <c r="P14" s="8"/>
      <c r="Q14" s="346">
        <f aca="true" t="shared" si="1" ref="Q14:Q25">V14+X14+Y14+R14</f>
        <v>0</v>
      </c>
      <c r="R14" s="147">
        <f aca="true" t="shared" si="2" ref="R14:R28"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ht="24.75" customHeight="1">
      <c r="A15" s="326" t="s">
        <v>29</v>
      </c>
      <c r="B15" s="359" t="s">
        <v>131</v>
      </c>
      <c r="C15" s="358">
        <v>180</v>
      </c>
      <c r="D15" s="342">
        <f aca="true" t="shared" si="3" ref="D15:D28">E15/30</f>
        <v>6</v>
      </c>
      <c r="E15" s="13">
        <f t="shared" si="0"/>
        <v>180</v>
      </c>
      <c r="F15" s="14">
        <f>G15+K15+N15+M15</f>
        <v>180</v>
      </c>
      <c r="G15" s="301">
        <f aca="true" t="shared" si="4" ref="G15:G28">H15+I15+J15</f>
        <v>90</v>
      </c>
      <c r="H15" s="174"/>
      <c r="I15" s="110"/>
      <c r="J15" s="114">
        <v>90</v>
      </c>
      <c r="K15" s="174">
        <v>90</v>
      </c>
      <c r="L15" s="110"/>
      <c r="M15" s="110"/>
      <c r="N15" s="110"/>
      <c r="O15" s="110" t="s">
        <v>70</v>
      </c>
      <c r="P15" s="111"/>
      <c r="Q15" s="347">
        <f t="shared" si="1"/>
        <v>0</v>
      </c>
      <c r="R15" s="148">
        <f t="shared" si="2"/>
        <v>0</v>
      </c>
      <c r="S15" s="113"/>
      <c r="T15" s="110"/>
      <c r="U15" s="111"/>
      <c r="V15" s="113"/>
      <c r="W15" s="110"/>
      <c r="X15" s="110"/>
      <c r="Y15" s="110"/>
      <c r="Z15" s="110"/>
      <c r="AA15" s="114"/>
    </row>
    <row r="16" spans="1:27" ht="24.75" customHeight="1">
      <c r="A16" s="326" t="s">
        <v>30</v>
      </c>
      <c r="B16" s="323" t="s">
        <v>223</v>
      </c>
      <c r="C16" s="340">
        <v>90</v>
      </c>
      <c r="D16" s="342">
        <f t="shared" si="3"/>
        <v>3</v>
      </c>
      <c r="E16" s="13">
        <f t="shared" si="0"/>
        <v>90</v>
      </c>
      <c r="F16" s="14">
        <f>G16+K16+N16+M16</f>
        <v>45</v>
      </c>
      <c r="G16" s="301">
        <f t="shared" si="4"/>
        <v>30</v>
      </c>
      <c r="H16" s="350"/>
      <c r="I16" s="13"/>
      <c r="J16" s="17">
        <v>30</v>
      </c>
      <c r="K16" s="350">
        <v>15</v>
      </c>
      <c r="L16" s="13"/>
      <c r="M16" s="13"/>
      <c r="N16" s="13"/>
      <c r="O16" s="13"/>
      <c r="P16" s="14" t="s">
        <v>88</v>
      </c>
      <c r="Q16" s="347">
        <f t="shared" si="1"/>
        <v>45</v>
      </c>
      <c r="R16" s="148">
        <f t="shared" si="2"/>
        <v>34</v>
      </c>
      <c r="S16" s="16"/>
      <c r="T16" s="13"/>
      <c r="U16" s="14">
        <f>34</f>
        <v>34</v>
      </c>
      <c r="V16" s="16">
        <v>11</v>
      </c>
      <c r="W16" s="13"/>
      <c r="X16" s="13"/>
      <c r="Y16" s="13"/>
      <c r="Z16" s="13"/>
      <c r="AA16" s="17" t="s">
        <v>67</v>
      </c>
    </row>
    <row r="17" spans="1:27" ht="24.75" customHeight="1">
      <c r="A17" s="326" t="s">
        <v>31</v>
      </c>
      <c r="B17" s="323" t="s">
        <v>133</v>
      </c>
      <c r="C17" s="340">
        <v>120</v>
      </c>
      <c r="D17" s="342">
        <f t="shared" si="3"/>
        <v>4</v>
      </c>
      <c r="E17" s="13">
        <f t="shared" si="0"/>
        <v>120</v>
      </c>
      <c r="F17" s="14">
        <f aca="true" t="shared" si="5" ref="F17:F28">G17+K17+N17+M17</f>
        <v>120</v>
      </c>
      <c r="G17" s="301">
        <f t="shared" si="4"/>
        <v>60</v>
      </c>
      <c r="H17" s="350">
        <v>40</v>
      </c>
      <c r="I17" s="13"/>
      <c r="J17" s="17">
        <v>20</v>
      </c>
      <c r="K17" s="350">
        <v>60</v>
      </c>
      <c r="L17" s="13"/>
      <c r="M17" s="13"/>
      <c r="N17" s="13"/>
      <c r="O17" s="13"/>
      <c r="P17" s="14" t="s">
        <v>67</v>
      </c>
      <c r="Q17" s="347">
        <f t="shared" si="1"/>
        <v>0</v>
      </c>
      <c r="R17" s="148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326" t="s">
        <v>32</v>
      </c>
      <c r="B18" s="323" t="s">
        <v>224</v>
      </c>
      <c r="C18" s="340">
        <v>120</v>
      </c>
      <c r="D18" s="342">
        <f t="shared" si="3"/>
        <v>4</v>
      </c>
      <c r="E18" s="13">
        <f t="shared" si="0"/>
        <v>120</v>
      </c>
      <c r="F18" s="14">
        <f>G18+K18+N18+M18</f>
        <v>120</v>
      </c>
      <c r="G18" s="301">
        <f t="shared" si="4"/>
        <v>60</v>
      </c>
      <c r="H18" s="350">
        <v>40</v>
      </c>
      <c r="I18" s="13"/>
      <c r="J18" s="17">
        <v>20</v>
      </c>
      <c r="K18" s="350">
        <v>60</v>
      </c>
      <c r="L18" s="13"/>
      <c r="M18" s="13"/>
      <c r="N18" s="13"/>
      <c r="O18" s="13"/>
      <c r="P18" s="14" t="s">
        <v>67</v>
      </c>
      <c r="Q18" s="347">
        <f t="shared" si="1"/>
        <v>0</v>
      </c>
      <c r="R18" s="148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3" t="s">
        <v>225</v>
      </c>
      <c r="C19" s="340">
        <v>150</v>
      </c>
      <c r="D19" s="342">
        <f t="shared" si="3"/>
        <v>5</v>
      </c>
      <c r="E19" s="13">
        <f t="shared" si="0"/>
        <v>150</v>
      </c>
      <c r="F19" s="14">
        <f t="shared" si="5"/>
        <v>60</v>
      </c>
      <c r="G19" s="301">
        <f t="shared" si="4"/>
        <v>30</v>
      </c>
      <c r="H19" s="350">
        <v>16</v>
      </c>
      <c r="I19" s="13"/>
      <c r="J19" s="17">
        <v>14</v>
      </c>
      <c r="K19" s="350">
        <v>30</v>
      </c>
      <c r="L19" s="13"/>
      <c r="M19" s="13"/>
      <c r="N19" s="13"/>
      <c r="O19" s="13"/>
      <c r="P19" s="14" t="s">
        <v>67</v>
      </c>
      <c r="Q19" s="347">
        <f t="shared" si="1"/>
        <v>90</v>
      </c>
      <c r="R19" s="148">
        <f t="shared" si="2"/>
        <v>50</v>
      </c>
      <c r="S19" s="16">
        <f>50-16</f>
        <v>34</v>
      </c>
      <c r="T19" s="13"/>
      <c r="U19" s="14">
        <f>30-14</f>
        <v>16</v>
      </c>
      <c r="V19" s="16">
        <v>40</v>
      </c>
      <c r="W19" s="13"/>
      <c r="X19" s="13"/>
      <c r="Y19" s="13"/>
      <c r="Z19" s="13" t="s">
        <v>70</v>
      </c>
      <c r="AA19" s="17"/>
    </row>
    <row r="20" spans="1:27" ht="24.75" customHeight="1">
      <c r="A20" s="326" t="s">
        <v>34</v>
      </c>
      <c r="B20" s="323" t="s">
        <v>226</v>
      </c>
      <c r="C20" s="340">
        <v>150</v>
      </c>
      <c r="D20" s="342">
        <f t="shared" si="3"/>
        <v>5</v>
      </c>
      <c r="E20" s="13">
        <f t="shared" si="0"/>
        <v>150</v>
      </c>
      <c r="F20" s="14">
        <f t="shared" si="5"/>
        <v>0</v>
      </c>
      <c r="G20" s="301">
        <f t="shared" si="4"/>
        <v>0</v>
      </c>
      <c r="H20" s="350"/>
      <c r="I20" s="13"/>
      <c r="J20" s="17"/>
      <c r="K20" s="350"/>
      <c r="L20" s="13"/>
      <c r="M20" s="13"/>
      <c r="N20" s="13"/>
      <c r="O20" s="13"/>
      <c r="P20" s="14"/>
      <c r="Q20" s="347">
        <f t="shared" si="1"/>
        <v>150</v>
      </c>
      <c r="R20" s="148">
        <f t="shared" si="2"/>
        <v>68</v>
      </c>
      <c r="S20" s="16">
        <v>42</v>
      </c>
      <c r="T20" s="13"/>
      <c r="U20" s="14">
        <v>26</v>
      </c>
      <c r="V20" s="16">
        <v>82</v>
      </c>
      <c r="W20" s="13"/>
      <c r="X20" s="13"/>
      <c r="Y20" s="13"/>
      <c r="Z20" s="13" t="s">
        <v>70</v>
      </c>
      <c r="AA20" s="17"/>
    </row>
    <row r="21" spans="1:27" ht="24.75" customHeight="1">
      <c r="A21" s="326" t="s">
        <v>35</v>
      </c>
      <c r="B21" s="323" t="s">
        <v>227</v>
      </c>
      <c r="C21" s="340">
        <v>150</v>
      </c>
      <c r="D21" s="342">
        <f t="shared" si="3"/>
        <v>5</v>
      </c>
      <c r="E21" s="13">
        <f t="shared" si="0"/>
        <v>150</v>
      </c>
      <c r="F21" s="14">
        <f t="shared" si="5"/>
        <v>150</v>
      </c>
      <c r="G21" s="301">
        <f t="shared" si="4"/>
        <v>90</v>
      </c>
      <c r="H21" s="350">
        <v>50</v>
      </c>
      <c r="I21" s="13"/>
      <c r="J21" s="17">
        <v>40</v>
      </c>
      <c r="K21" s="350">
        <v>60</v>
      </c>
      <c r="L21" s="13"/>
      <c r="M21" s="13"/>
      <c r="N21" s="13"/>
      <c r="O21" s="13" t="s">
        <v>70</v>
      </c>
      <c r="P21" s="14"/>
      <c r="Q21" s="347">
        <f t="shared" si="1"/>
        <v>0</v>
      </c>
      <c r="R21" s="148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326" t="s">
        <v>36</v>
      </c>
      <c r="B22" s="323" t="s">
        <v>216</v>
      </c>
      <c r="C22" s="340">
        <v>120</v>
      </c>
      <c r="D22" s="342">
        <f t="shared" si="3"/>
        <v>4</v>
      </c>
      <c r="E22" s="13">
        <f t="shared" si="0"/>
        <v>120</v>
      </c>
      <c r="F22" s="14">
        <f t="shared" si="5"/>
        <v>0</v>
      </c>
      <c r="G22" s="301">
        <f t="shared" si="4"/>
        <v>0</v>
      </c>
      <c r="H22" s="350"/>
      <c r="I22" s="13"/>
      <c r="J22" s="17"/>
      <c r="K22" s="350"/>
      <c r="L22" s="13"/>
      <c r="M22" s="13"/>
      <c r="N22" s="13"/>
      <c r="O22" s="13"/>
      <c r="P22" s="14"/>
      <c r="Q22" s="347">
        <f t="shared" si="1"/>
        <v>120</v>
      </c>
      <c r="R22" s="148">
        <f t="shared" si="2"/>
        <v>68</v>
      </c>
      <c r="S22" s="16">
        <v>38</v>
      </c>
      <c r="T22" s="13"/>
      <c r="U22" s="14">
        <v>30</v>
      </c>
      <c r="V22" s="16">
        <v>52</v>
      </c>
      <c r="W22" s="13" t="s">
        <v>125</v>
      </c>
      <c r="X22" s="13"/>
      <c r="Y22" s="13"/>
      <c r="Z22" s="13" t="s">
        <v>70</v>
      </c>
      <c r="AA22" s="17"/>
    </row>
    <row r="23" spans="1:27" ht="20.25">
      <c r="A23" s="362" t="s">
        <v>37</v>
      </c>
      <c r="B23" s="451" t="s">
        <v>230</v>
      </c>
      <c r="C23" s="363">
        <v>120</v>
      </c>
      <c r="D23" s="342">
        <f t="shared" si="3"/>
        <v>4</v>
      </c>
      <c r="E23" s="13">
        <f t="shared" si="0"/>
        <v>120</v>
      </c>
      <c r="F23" s="14">
        <f t="shared" si="5"/>
        <v>0</v>
      </c>
      <c r="G23" s="301">
        <f t="shared" si="4"/>
        <v>0</v>
      </c>
      <c r="H23" s="365"/>
      <c r="I23" s="172"/>
      <c r="J23" s="184"/>
      <c r="K23" s="365"/>
      <c r="L23" s="172"/>
      <c r="M23" s="172"/>
      <c r="N23" s="172"/>
      <c r="O23" s="172"/>
      <c r="P23" s="173"/>
      <c r="Q23" s="347">
        <f t="shared" si="1"/>
        <v>120</v>
      </c>
      <c r="R23" s="148">
        <f t="shared" si="2"/>
        <v>50</v>
      </c>
      <c r="S23" s="176">
        <v>30</v>
      </c>
      <c r="T23" s="172"/>
      <c r="U23" s="173">
        <v>20</v>
      </c>
      <c r="V23" s="176">
        <v>70</v>
      </c>
      <c r="W23" s="172"/>
      <c r="X23" s="172"/>
      <c r="Y23" s="172"/>
      <c r="Z23" s="172"/>
      <c r="AA23" s="184" t="s">
        <v>67</v>
      </c>
    </row>
    <row r="24" spans="1:27" ht="20.25">
      <c r="A24" s="362" t="s">
        <v>38</v>
      </c>
      <c r="B24" s="451" t="s">
        <v>228</v>
      </c>
      <c r="C24" s="363">
        <v>150</v>
      </c>
      <c r="D24" s="342">
        <f t="shared" si="3"/>
        <v>5</v>
      </c>
      <c r="E24" s="13">
        <f t="shared" si="0"/>
        <v>150</v>
      </c>
      <c r="F24" s="14">
        <f t="shared" si="5"/>
        <v>0</v>
      </c>
      <c r="G24" s="301">
        <f t="shared" si="4"/>
        <v>0</v>
      </c>
      <c r="H24" s="365"/>
      <c r="I24" s="172"/>
      <c r="J24" s="184"/>
      <c r="K24" s="365"/>
      <c r="L24" s="172"/>
      <c r="M24" s="172"/>
      <c r="N24" s="172"/>
      <c r="O24" s="172"/>
      <c r="P24" s="173"/>
      <c r="Q24" s="347">
        <f t="shared" si="1"/>
        <v>150</v>
      </c>
      <c r="R24" s="148">
        <f t="shared" si="2"/>
        <v>68</v>
      </c>
      <c r="S24" s="176">
        <v>42</v>
      </c>
      <c r="T24" s="172"/>
      <c r="U24" s="173">
        <v>26</v>
      </c>
      <c r="V24" s="176">
        <v>82</v>
      </c>
      <c r="W24" s="172"/>
      <c r="X24" s="172"/>
      <c r="Y24" s="172"/>
      <c r="Z24" s="172" t="s">
        <v>70</v>
      </c>
      <c r="AA24" s="184"/>
    </row>
    <row r="25" spans="1:27" ht="24.75" customHeight="1" thickBot="1">
      <c r="A25" s="362" t="s">
        <v>39</v>
      </c>
      <c r="B25" s="445" t="s">
        <v>229</v>
      </c>
      <c r="C25" s="363">
        <v>180</v>
      </c>
      <c r="D25" s="364">
        <f t="shared" si="3"/>
        <v>6</v>
      </c>
      <c r="E25" s="172">
        <f t="shared" si="0"/>
        <v>180</v>
      </c>
      <c r="F25" s="173">
        <f t="shared" si="5"/>
        <v>0</v>
      </c>
      <c r="G25" s="301">
        <f t="shared" si="4"/>
        <v>0</v>
      </c>
      <c r="H25" s="446"/>
      <c r="I25" s="172"/>
      <c r="J25" s="184"/>
      <c r="K25" s="365"/>
      <c r="L25" s="172"/>
      <c r="M25" s="172"/>
      <c r="N25" s="172"/>
      <c r="O25" s="172"/>
      <c r="P25" s="173"/>
      <c r="Q25" s="347">
        <f t="shared" si="1"/>
        <v>180</v>
      </c>
      <c r="R25" s="148">
        <f t="shared" si="2"/>
        <v>102</v>
      </c>
      <c r="S25" s="421">
        <v>68</v>
      </c>
      <c r="T25" s="172"/>
      <c r="U25" s="173">
        <v>34</v>
      </c>
      <c r="V25" s="176">
        <v>78</v>
      </c>
      <c r="W25" s="172"/>
      <c r="X25" s="172"/>
      <c r="Y25" s="172"/>
      <c r="Z25" s="172" t="s">
        <v>70</v>
      </c>
      <c r="AA25" s="184"/>
    </row>
    <row r="26" spans="1:27" ht="24.75" customHeight="1" thickBot="1">
      <c r="A26" s="187" t="s">
        <v>40</v>
      </c>
      <c r="B26" s="188" t="s">
        <v>135</v>
      </c>
      <c r="C26" s="189">
        <v>120</v>
      </c>
      <c r="D26" s="190">
        <f t="shared" si="3"/>
        <v>4</v>
      </c>
      <c r="E26" s="191">
        <f t="shared" si="0"/>
        <v>120</v>
      </c>
      <c r="F26" s="199">
        <f t="shared" si="5"/>
        <v>120</v>
      </c>
      <c r="G26" s="379">
        <f t="shared" si="4"/>
        <v>60</v>
      </c>
      <c r="H26" s="194">
        <v>40</v>
      </c>
      <c r="I26" s="191"/>
      <c r="J26" s="192">
        <v>20</v>
      </c>
      <c r="K26" s="194">
        <v>60</v>
      </c>
      <c r="L26" s="191"/>
      <c r="M26" s="191"/>
      <c r="N26" s="191"/>
      <c r="O26" s="191"/>
      <c r="P26" s="199" t="s">
        <v>67</v>
      </c>
      <c r="Q26" s="447">
        <f>V26+W26+X26+Y26+R26</f>
        <v>0</v>
      </c>
      <c r="R26" s="379">
        <f t="shared" si="2"/>
        <v>0</v>
      </c>
      <c r="S26" s="194"/>
      <c r="T26" s="196"/>
      <c r="U26" s="197"/>
      <c r="V26" s="198"/>
      <c r="W26" s="191"/>
      <c r="X26" s="191"/>
      <c r="Y26" s="191"/>
      <c r="Z26" s="191"/>
      <c r="AA26" s="199"/>
    </row>
    <row r="27" spans="1:27" ht="24.75" customHeight="1" thickBot="1">
      <c r="A27" s="200" t="s">
        <v>41</v>
      </c>
      <c r="B27" s="201" t="s">
        <v>349</v>
      </c>
      <c r="C27" s="202">
        <v>150</v>
      </c>
      <c r="D27" s="190">
        <f t="shared" si="3"/>
        <v>5</v>
      </c>
      <c r="E27" s="191">
        <f t="shared" si="0"/>
        <v>150</v>
      </c>
      <c r="F27" s="199">
        <f t="shared" si="5"/>
        <v>0</v>
      </c>
      <c r="G27" s="379">
        <f t="shared" si="4"/>
        <v>0</v>
      </c>
      <c r="H27" s="207"/>
      <c r="I27" s="204"/>
      <c r="J27" s="205"/>
      <c r="K27" s="207"/>
      <c r="L27" s="204"/>
      <c r="M27" s="204"/>
      <c r="N27" s="204"/>
      <c r="O27" s="204"/>
      <c r="P27" s="209"/>
      <c r="Q27" s="447">
        <f>V27+W27+X27+Y27+R27</f>
        <v>150</v>
      </c>
      <c r="R27" s="379">
        <f t="shared" si="2"/>
        <v>68</v>
      </c>
      <c r="S27" s="207">
        <v>38</v>
      </c>
      <c r="T27" s="448"/>
      <c r="U27" s="449">
        <v>30</v>
      </c>
      <c r="V27" s="450">
        <v>82</v>
      </c>
      <c r="W27" s="204"/>
      <c r="X27" s="204"/>
      <c r="Y27" s="204"/>
      <c r="Z27" s="204"/>
      <c r="AA27" s="209" t="s">
        <v>67</v>
      </c>
    </row>
    <row r="28" spans="1:27" s="239" customFormat="1" ht="24.75" customHeight="1" thickBot="1">
      <c r="A28" s="433" t="s">
        <v>55</v>
      </c>
      <c r="B28" s="454" t="s">
        <v>100</v>
      </c>
      <c r="C28" s="434">
        <v>315</v>
      </c>
      <c r="D28" s="452">
        <f t="shared" si="3"/>
        <v>5.5</v>
      </c>
      <c r="E28" s="441">
        <f t="shared" si="0"/>
        <v>165</v>
      </c>
      <c r="F28" s="453">
        <f t="shared" si="5"/>
        <v>0</v>
      </c>
      <c r="G28" s="348">
        <f t="shared" si="4"/>
        <v>0</v>
      </c>
      <c r="H28" s="452"/>
      <c r="I28" s="441"/>
      <c r="J28" s="444"/>
      <c r="K28" s="452"/>
      <c r="L28" s="441"/>
      <c r="M28" s="441"/>
      <c r="N28" s="441"/>
      <c r="O28" s="441"/>
      <c r="P28" s="453"/>
      <c r="Q28" s="380">
        <f>V28+X28+Y28+R28</f>
        <v>165</v>
      </c>
      <c r="R28" s="351">
        <f t="shared" si="2"/>
        <v>120</v>
      </c>
      <c r="S28" s="455"/>
      <c r="T28" s="441"/>
      <c r="U28" s="453">
        <f>30*4</f>
        <v>120</v>
      </c>
      <c r="V28" s="455">
        <f>3*15</f>
        <v>45</v>
      </c>
      <c r="W28" s="441"/>
      <c r="X28" s="441"/>
      <c r="Y28" s="441"/>
      <c r="Z28" s="441"/>
      <c r="AA28" s="444" t="s">
        <v>67</v>
      </c>
    </row>
    <row r="29" spans="1:27" ht="24.75" customHeight="1" thickBot="1">
      <c r="A29" s="28"/>
      <c r="B29" s="29" t="s">
        <v>42</v>
      </c>
      <c r="C29" s="39">
        <f>SUM(C14:C28)</f>
        <v>2175</v>
      </c>
      <c r="D29" s="243">
        <f>SUM(D14:D28)</f>
        <v>67.5</v>
      </c>
      <c r="E29" s="77">
        <f>SUM(E14:E28)</f>
        <v>2025</v>
      </c>
      <c r="F29" s="79">
        <f>SUM(F14:F28)</f>
        <v>855</v>
      </c>
      <c r="G29" s="39">
        <f>SUM(G14:G26)</f>
        <v>450</v>
      </c>
      <c r="H29" s="243">
        <f>SUM(H14:H28)</f>
        <v>192</v>
      </c>
      <c r="I29" s="77">
        <f>SUM(I14:I28)</f>
        <v>0</v>
      </c>
      <c r="J29" s="77">
        <f>SUM(J14:J28)</f>
        <v>258</v>
      </c>
      <c r="K29" s="77">
        <f>SUM(K14:K28)</f>
        <v>405</v>
      </c>
      <c r="L29" s="77">
        <v>0</v>
      </c>
      <c r="M29" s="77">
        <f>SUM(M14:M28)</f>
        <v>0</v>
      </c>
      <c r="N29" s="77">
        <f>SUM(N14:N28)</f>
        <v>0</v>
      </c>
      <c r="O29" s="77">
        <v>3</v>
      </c>
      <c r="P29" s="79">
        <v>5</v>
      </c>
      <c r="Q29" s="39">
        <f>SUM(Q14:Q28)</f>
        <v>1170</v>
      </c>
      <c r="R29" s="412">
        <f>SUM(R14:R27)</f>
        <v>508</v>
      </c>
      <c r="S29" s="243">
        <f>SUM(S14:S28)</f>
        <v>292</v>
      </c>
      <c r="T29" s="77">
        <f>SUM(T14:T28)</f>
        <v>0</v>
      </c>
      <c r="U29" s="77">
        <f>SUM(U14:U28)</f>
        <v>336</v>
      </c>
      <c r="V29" s="77">
        <f>SUM(V14:V28)</f>
        <v>542</v>
      </c>
      <c r="W29" s="77">
        <v>1</v>
      </c>
      <c r="X29" s="77">
        <f>SUM(X14:X28)</f>
        <v>0</v>
      </c>
      <c r="Y29" s="77">
        <f>SUM(Y14:Y28)</f>
        <v>0</v>
      </c>
      <c r="Z29" s="77">
        <v>5</v>
      </c>
      <c r="AA29" s="146">
        <v>3</v>
      </c>
    </row>
    <row r="30" spans="1:27" ht="24.75" customHeight="1" thickBot="1">
      <c r="A30" s="589"/>
      <c r="B30" s="384" t="s">
        <v>43</v>
      </c>
      <c r="C30" s="46"/>
      <c r="D30" s="387"/>
      <c r="E30" s="47"/>
      <c r="F30" s="388"/>
      <c r="G30" s="389">
        <f>G29/J10</f>
        <v>30</v>
      </c>
      <c r="H30" s="46"/>
      <c r="I30" s="47"/>
      <c r="J30" s="47"/>
      <c r="K30" s="47"/>
      <c r="L30" s="47"/>
      <c r="M30" s="47"/>
      <c r="N30" s="47"/>
      <c r="O30" s="48"/>
      <c r="P30" s="49"/>
      <c r="Q30" s="388"/>
      <c r="R30" s="390">
        <f>SUM(R14:R27)/U10</f>
        <v>29.88235294117647</v>
      </c>
      <c r="S30" s="391"/>
      <c r="T30" s="47"/>
      <c r="U30" s="47"/>
      <c r="V30" s="47"/>
      <c r="W30" s="47"/>
      <c r="X30" s="47"/>
      <c r="Y30" s="47"/>
      <c r="Z30" s="48"/>
      <c r="AA30" s="49"/>
    </row>
    <row r="31" spans="1:27" ht="24.75" customHeight="1" thickBot="1">
      <c r="A31" s="590"/>
      <c r="B31" s="385" t="s">
        <v>44</v>
      </c>
      <c r="C31" s="57"/>
      <c r="D31" s="54"/>
      <c r="E31" s="43"/>
      <c r="F31" s="55"/>
      <c r="G31" s="56"/>
      <c r="H31" s="57"/>
      <c r="I31" s="43"/>
      <c r="J31" s="43"/>
      <c r="K31" s="43"/>
      <c r="L31" s="43"/>
      <c r="M31" s="43"/>
      <c r="N31" s="58"/>
      <c r="O31" s="39">
        <v>3</v>
      </c>
      <c r="P31" s="59"/>
      <c r="Q31" s="60"/>
      <c r="R31" s="61"/>
      <c r="S31" s="62"/>
      <c r="T31" s="62"/>
      <c r="U31" s="62"/>
      <c r="V31" s="62"/>
      <c r="W31" s="62"/>
      <c r="X31" s="62"/>
      <c r="Y31" s="58"/>
      <c r="Z31" s="39">
        <v>5</v>
      </c>
      <c r="AA31" s="144"/>
    </row>
    <row r="32" spans="1:27" ht="24.75" customHeight="1" thickBot="1">
      <c r="A32" s="590"/>
      <c r="B32" s="385" t="s">
        <v>45</v>
      </c>
      <c r="C32" s="57"/>
      <c r="D32" s="54"/>
      <c r="E32" s="43"/>
      <c r="F32" s="55"/>
      <c r="G32" s="58"/>
      <c r="H32" s="57"/>
      <c r="I32" s="43"/>
      <c r="J32" s="43"/>
      <c r="K32" s="43"/>
      <c r="L32" s="63"/>
      <c r="M32" s="43"/>
      <c r="N32" s="62"/>
      <c r="O32" s="56"/>
      <c r="P32" s="39">
        <v>5</v>
      </c>
      <c r="Q32" s="60"/>
      <c r="R32" s="62"/>
      <c r="S32" s="62"/>
      <c r="T32" s="62"/>
      <c r="U32" s="62"/>
      <c r="V32" s="62"/>
      <c r="W32" s="64"/>
      <c r="X32" s="62"/>
      <c r="Y32" s="62"/>
      <c r="Z32" s="56"/>
      <c r="AA32" s="39">
        <v>4</v>
      </c>
    </row>
    <row r="33" spans="1:27" ht="24.75" customHeight="1" thickBot="1">
      <c r="A33" s="590"/>
      <c r="B33" s="386" t="s">
        <v>46</v>
      </c>
      <c r="C33" s="68"/>
      <c r="D33" s="70"/>
      <c r="E33" s="69"/>
      <c r="F33" s="71"/>
      <c r="G33" s="70"/>
      <c r="H33" s="68"/>
      <c r="I33" s="69"/>
      <c r="J33" s="69"/>
      <c r="K33" s="70"/>
      <c r="L33" s="39">
        <v>0</v>
      </c>
      <c r="M33" s="71"/>
      <c r="N33" s="72"/>
      <c r="O33" s="72"/>
      <c r="P33" s="73"/>
      <c r="Q33" s="392"/>
      <c r="R33" s="72"/>
      <c r="S33" s="72"/>
      <c r="T33" s="72"/>
      <c r="U33" s="72"/>
      <c r="V33" s="393"/>
      <c r="W33" s="39">
        <v>1</v>
      </c>
      <c r="X33" s="71"/>
      <c r="Y33" s="69"/>
      <c r="Z33" s="72"/>
      <c r="AA33" s="73"/>
    </row>
    <row r="34" spans="1:27" ht="24.75" customHeight="1" thickBot="1">
      <c r="A34" s="591"/>
      <c r="B34" s="137" t="s">
        <v>47</v>
      </c>
      <c r="C34" s="77">
        <f>SUM(C30:C33)</f>
        <v>0</v>
      </c>
      <c r="D34" s="77">
        <f aca="true" t="shared" si="6" ref="D34:AA34">SUM(D30:D33)</f>
        <v>0</v>
      </c>
      <c r="E34" s="77">
        <f t="shared" si="6"/>
        <v>0</v>
      </c>
      <c r="F34" s="77">
        <f t="shared" si="6"/>
        <v>0</v>
      </c>
      <c r="G34" s="78">
        <f>SUM(G30:G33)</f>
        <v>30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2">
        <f t="shared" si="6"/>
        <v>0</v>
      </c>
      <c r="L34" s="39">
        <f t="shared" si="6"/>
        <v>0</v>
      </c>
      <c r="M34" s="38">
        <f t="shared" si="6"/>
        <v>0</v>
      </c>
      <c r="N34" s="31">
        <f t="shared" si="6"/>
        <v>0</v>
      </c>
      <c r="O34" s="31">
        <f t="shared" si="6"/>
        <v>3</v>
      </c>
      <c r="P34" s="31">
        <f t="shared" si="6"/>
        <v>5</v>
      </c>
      <c r="Q34" s="77">
        <f t="shared" si="6"/>
        <v>0</v>
      </c>
      <c r="R34" s="78">
        <f t="shared" si="6"/>
        <v>29.88235294117647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9">
        <f t="shared" si="6"/>
        <v>0</v>
      </c>
      <c r="W34" s="39">
        <f t="shared" si="6"/>
        <v>1</v>
      </c>
      <c r="X34" s="243">
        <f t="shared" si="6"/>
        <v>0</v>
      </c>
      <c r="Y34" s="77">
        <f t="shared" si="6"/>
        <v>0</v>
      </c>
      <c r="Z34" s="77">
        <f>SUM(Z30:Z33)</f>
        <v>5</v>
      </c>
      <c r="AA34" s="146">
        <f t="shared" si="6"/>
        <v>4</v>
      </c>
    </row>
    <row r="35" spans="1:27" ht="24.75" customHeight="1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6.25">
      <c r="A38" s="1"/>
      <c r="B38" s="82" t="s">
        <v>60</v>
      </c>
      <c r="C38" s="82"/>
      <c r="D38" s="82"/>
      <c r="E38" s="82"/>
      <c r="F38" s="82"/>
      <c r="G38" s="82"/>
      <c r="H38" s="82"/>
      <c r="I38" s="82"/>
      <c r="J38" s="82"/>
      <c r="K38" s="82" t="s">
        <v>59</v>
      </c>
      <c r="L38" s="82"/>
      <c r="M38" s="82"/>
      <c r="N38" s="82"/>
      <c r="O38" s="82"/>
      <c r="P38" s="82"/>
      <c r="Q38" s="82"/>
      <c r="R38" s="83"/>
      <c r="S38" s="83"/>
      <c r="T38" s="84"/>
      <c r="U38" s="85"/>
      <c r="V38" s="85"/>
      <c r="W38" s="85"/>
      <c r="X38" s="85"/>
      <c r="Y38" s="86"/>
      <c r="Z38" s="86"/>
      <c r="AA38" s="86"/>
    </row>
    <row r="39" spans="1:27" ht="26.25">
      <c r="A39" s="87"/>
      <c r="B39" s="592"/>
      <c r="C39" s="592"/>
      <c r="D39" s="592"/>
      <c r="E39" s="592"/>
      <c r="F39" s="592"/>
      <c r="G39" s="592"/>
      <c r="H39" s="592"/>
      <c r="I39" s="592"/>
      <c r="J39" s="592"/>
      <c r="K39" s="87"/>
      <c r="L39" s="87"/>
      <c r="M39" s="87"/>
      <c r="N39" s="87"/>
      <c r="O39" s="87"/>
      <c r="P39" s="87"/>
      <c r="Q39" s="87"/>
      <c r="R39" s="87" t="s">
        <v>48</v>
      </c>
      <c r="S39" s="89"/>
      <c r="T39" s="90" t="s">
        <v>49</v>
      </c>
      <c r="U39" s="91" t="s">
        <v>50</v>
      </c>
      <c r="V39" s="91"/>
      <c r="W39" s="91"/>
      <c r="X39" s="90"/>
      <c r="Y39" s="90"/>
      <c r="Z39" s="92"/>
      <c r="AA39" s="92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/>
      <c r="L40" s="82"/>
      <c r="M40" s="82"/>
      <c r="N40" s="82"/>
      <c r="O40" s="82"/>
      <c r="P40" s="82"/>
      <c r="Q40" s="82"/>
      <c r="R40" s="82"/>
      <c r="S40" s="82"/>
      <c r="T40" s="84"/>
      <c r="U40" s="84"/>
      <c r="V40" s="84"/>
      <c r="W40" s="84"/>
      <c r="X40" s="93"/>
      <c r="Y40" s="93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 t="s">
        <v>51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52</v>
      </c>
      <c r="U42" s="91" t="s">
        <v>50</v>
      </c>
      <c r="V42" s="91"/>
      <c r="W42" s="91"/>
      <c r="X42" s="90"/>
      <c r="Y42" s="90"/>
      <c r="Z42" s="94"/>
      <c r="AA42" s="94"/>
    </row>
  </sheetData>
  <sheetProtection/>
  <mergeCells count="42">
    <mergeCell ref="A30:A34"/>
    <mergeCell ref="B39:J39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2"/>
  <sheetViews>
    <sheetView zoomScale="55" zoomScaleNormal="55" zoomScalePageLayoutView="0" workbookViewId="0" topLeftCell="A4">
      <selection activeCell="L25" sqref="L25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2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238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250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128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129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131</v>
      </c>
      <c r="C14" s="339">
        <v>180</v>
      </c>
      <c r="D14" s="341">
        <f>E14/30</f>
        <v>5</v>
      </c>
      <c r="E14" s="7">
        <f aca="true" t="shared" si="0" ref="E14:E28">F14+Q14</f>
        <v>150</v>
      </c>
      <c r="F14" s="8">
        <f>G14+K14+N14+M14</f>
        <v>75</v>
      </c>
      <c r="G14" s="259">
        <f>H14+I14+J14</f>
        <v>30</v>
      </c>
      <c r="H14" s="349"/>
      <c r="I14" s="7"/>
      <c r="J14" s="11">
        <v>30</v>
      </c>
      <c r="K14" s="349">
        <v>45</v>
      </c>
      <c r="L14" s="7"/>
      <c r="M14" s="7"/>
      <c r="N14" s="7"/>
      <c r="O14" s="7"/>
      <c r="P14" s="8" t="s">
        <v>88</v>
      </c>
      <c r="Q14" s="346">
        <f aca="true" t="shared" si="1" ref="Q14:Q26">V14+X14+Y14+R14</f>
        <v>75</v>
      </c>
      <c r="R14" s="147">
        <f aca="true" t="shared" si="2" ref="R14:R28">S14+T14+U14</f>
        <v>34</v>
      </c>
      <c r="S14" s="10"/>
      <c r="T14" s="7"/>
      <c r="U14" s="8">
        <v>34</v>
      </c>
      <c r="V14" s="10">
        <v>41</v>
      </c>
      <c r="W14" s="7"/>
      <c r="X14" s="7"/>
      <c r="Y14" s="7"/>
      <c r="Z14" s="7" t="s">
        <v>69</v>
      </c>
      <c r="AA14" s="11"/>
    </row>
    <row r="15" spans="1:27" ht="24.75" customHeight="1">
      <c r="A15" s="409" t="s">
        <v>29</v>
      </c>
      <c r="B15" s="359" t="s">
        <v>130</v>
      </c>
      <c r="C15" s="358">
        <v>60</v>
      </c>
      <c r="D15" s="342">
        <f aca="true" t="shared" si="3" ref="D15:D28">E15/30</f>
        <v>2</v>
      </c>
      <c r="E15" s="13">
        <f t="shared" si="0"/>
        <v>60</v>
      </c>
      <c r="F15" s="14">
        <f>G15+K15+N15+M15</f>
        <v>60</v>
      </c>
      <c r="G15" s="301">
        <f aca="true" t="shared" si="4" ref="G15:G28">H15+I15+J15</f>
        <v>30</v>
      </c>
      <c r="H15" s="174">
        <v>6</v>
      </c>
      <c r="I15" s="110"/>
      <c r="J15" s="114">
        <v>24</v>
      </c>
      <c r="K15" s="174">
        <v>30</v>
      </c>
      <c r="L15" s="110"/>
      <c r="M15" s="110"/>
      <c r="N15" s="110"/>
      <c r="O15" s="110" t="s">
        <v>70</v>
      </c>
      <c r="P15" s="111"/>
      <c r="Q15" s="347">
        <f t="shared" si="1"/>
        <v>0</v>
      </c>
      <c r="R15" s="148">
        <f t="shared" si="2"/>
        <v>0</v>
      </c>
      <c r="S15" s="113"/>
      <c r="T15" s="110"/>
      <c r="U15" s="111"/>
      <c r="V15" s="113"/>
      <c r="W15" s="110"/>
      <c r="X15" s="110"/>
      <c r="Y15" s="110"/>
      <c r="Z15" s="110"/>
      <c r="AA15" s="114"/>
    </row>
    <row r="16" spans="1:27" ht="24.75" customHeight="1">
      <c r="A16" s="326" t="s">
        <v>30</v>
      </c>
      <c r="B16" s="359" t="s">
        <v>251</v>
      </c>
      <c r="C16" s="358">
        <v>135</v>
      </c>
      <c r="D16" s="342">
        <f t="shared" si="3"/>
        <v>5</v>
      </c>
      <c r="E16" s="13">
        <f t="shared" si="0"/>
        <v>150</v>
      </c>
      <c r="F16" s="14">
        <f>G16+K16+N16+M16</f>
        <v>75</v>
      </c>
      <c r="G16" s="301">
        <f t="shared" si="4"/>
        <v>30</v>
      </c>
      <c r="H16" s="174"/>
      <c r="I16" s="110"/>
      <c r="J16" s="114">
        <v>30</v>
      </c>
      <c r="K16" s="174">
        <v>45</v>
      </c>
      <c r="L16" s="110"/>
      <c r="M16" s="110"/>
      <c r="N16" s="110"/>
      <c r="O16" s="110"/>
      <c r="P16" s="111" t="s">
        <v>91</v>
      </c>
      <c r="Q16" s="347">
        <f t="shared" si="1"/>
        <v>75</v>
      </c>
      <c r="R16" s="148">
        <f t="shared" si="2"/>
        <v>34</v>
      </c>
      <c r="S16" s="113"/>
      <c r="T16" s="110"/>
      <c r="U16" s="111">
        <v>34</v>
      </c>
      <c r="V16" s="113">
        <v>41</v>
      </c>
      <c r="W16" s="110"/>
      <c r="X16" s="110"/>
      <c r="Y16" s="110"/>
      <c r="Z16" s="110"/>
      <c r="AA16" s="114" t="s">
        <v>67</v>
      </c>
    </row>
    <row r="17" spans="1:27" ht="24.75" customHeight="1">
      <c r="A17" s="326" t="s">
        <v>31</v>
      </c>
      <c r="B17" s="323" t="s">
        <v>133</v>
      </c>
      <c r="C17" s="340">
        <v>150</v>
      </c>
      <c r="D17" s="342">
        <f t="shared" si="3"/>
        <v>5</v>
      </c>
      <c r="E17" s="13">
        <f t="shared" si="0"/>
        <v>150</v>
      </c>
      <c r="F17" s="14">
        <f>G17+K17+N17+M17</f>
        <v>150</v>
      </c>
      <c r="G17" s="301">
        <f t="shared" si="4"/>
        <v>74</v>
      </c>
      <c r="H17" s="350">
        <v>44</v>
      </c>
      <c r="I17" s="13"/>
      <c r="J17" s="17">
        <v>30</v>
      </c>
      <c r="K17" s="350">
        <v>76</v>
      </c>
      <c r="L17" s="13"/>
      <c r="M17" s="13"/>
      <c r="N17" s="13"/>
      <c r="O17" s="13" t="s">
        <v>69</v>
      </c>
      <c r="P17" s="14"/>
      <c r="Q17" s="347">
        <f t="shared" si="1"/>
        <v>0</v>
      </c>
      <c r="R17" s="148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326" t="s">
        <v>32</v>
      </c>
      <c r="B18" s="323" t="s">
        <v>252</v>
      </c>
      <c r="C18" s="340">
        <v>90</v>
      </c>
      <c r="D18" s="342">
        <f t="shared" si="3"/>
        <v>3</v>
      </c>
      <c r="E18" s="13">
        <f t="shared" si="0"/>
        <v>90</v>
      </c>
      <c r="F18" s="14">
        <f aca="true" t="shared" si="5" ref="F18:F28">G18+K18+N18+M18</f>
        <v>0</v>
      </c>
      <c r="G18" s="301">
        <f t="shared" si="4"/>
        <v>0</v>
      </c>
      <c r="H18" s="350"/>
      <c r="I18" s="13"/>
      <c r="J18" s="17"/>
      <c r="K18" s="350"/>
      <c r="L18" s="13"/>
      <c r="M18" s="13"/>
      <c r="N18" s="13"/>
      <c r="O18" s="13"/>
      <c r="P18" s="14"/>
      <c r="Q18" s="347">
        <f t="shared" si="1"/>
        <v>90</v>
      </c>
      <c r="R18" s="148">
        <f t="shared" si="2"/>
        <v>68</v>
      </c>
      <c r="S18" s="16">
        <v>40</v>
      </c>
      <c r="T18" s="13"/>
      <c r="U18" s="14">
        <v>28</v>
      </c>
      <c r="V18" s="16">
        <v>22</v>
      </c>
      <c r="W18" s="13"/>
      <c r="X18" s="13"/>
      <c r="Y18" s="13"/>
      <c r="Z18" s="13" t="s">
        <v>70</v>
      </c>
      <c r="AA18" s="17"/>
    </row>
    <row r="19" spans="1:27" ht="24.75" customHeight="1">
      <c r="A19" s="326" t="s">
        <v>33</v>
      </c>
      <c r="B19" s="323" t="s">
        <v>253</v>
      </c>
      <c r="C19" s="340">
        <v>120</v>
      </c>
      <c r="D19" s="342">
        <f t="shared" si="3"/>
        <v>4</v>
      </c>
      <c r="E19" s="13">
        <f t="shared" si="0"/>
        <v>120</v>
      </c>
      <c r="F19" s="14">
        <f>G19+K19+N19+M19</f>
        <v>0</v>
      </c>
      <c r="G19" s="301">
        <f t="shared" si="4"/>
        <v>0</v>
      </c>
      <c r="H19" s="350"/>
      <c r="I19" s="13"/>
      <c r="J19" s="17"/>
      <c r="K19" s="350"/>
      <c r="L19" s="13"/>
      <c r="M19" s="13"/>
      <c r="N19" s="13"/>
      <c r="O19" s="13"/>
      <c r="P19" s="14"/>
      <c r="Q19" s="347">
        <f t="shared" si="1"/>
        <v>120</v>
      </c>
      <c r="R19" s="148">
        <f t="shared" si="2"/>
        <v>52</v>
      </c>
      <c r="S19" s="16">
        <v>32</v>
      </c>
      <c r="T19" s="13"/>
      <c r="U19" s="14">
        <v>20</v>
      </c>
      <c r="V19" s="16">
        <v>68</v>
      </c>
      <c r="W19" s="13"/>
      <c r="X19" s="13"/>
      <c r="Y19" s="13"/>
      <c r="Z19" s="13" t="s">
        <v>70</v>
      </c>
      <c r="AA19" s="17"/>
    </row>
    <row r="20" spans="1:27" ht="24.75" customHeight="1">
      <c r="A20" s="326" t="s">
        <v>34</v>
      </c>
      <c r="B20" s="323" t="s">
        <v>254</v>
      </c>
      <c r="C20" s="340">
        <v>90</v>
      </c>
      <c r="D20" s="342">
        <f t="shared" si="3"/>
        <v>3</v>
      </c>
      <c r="E20" s="13">
        <f t="shared" si="0"/>
        <v>90</v>
      </c>
      <c r="F20" s="14">
        <f t="shared" si="5"/>
        <v>0</v>
      </c>
      <c r="G20" s="301">
        <f t="shared" si="4"/>
        <v>0</v>
      </c>
      <c r="H20" s="350"/>
      <c r="I20" s="13"/>
      <c r="J20" s="17"/>
      <c r="K20" s="350"/>
      <c r="L20" s="13"/>
      <c r="M20" s="13"/>
      <c r="N20" s="13"/>
      <c r="O20" s="13"/>
      <c r="P20" s="14"/>
      <c r="Q20" s="347">
        <f t="shared" si="1"/>
        <v>90</v>
      </c>
      <c r="R20" s="148">
        <f t="shared" si="2"/>
        <v>68</v>
      </c>
      <c r="S20" s="16">
        <v>34</v>
      </c>
      <c r="T20" s="13"/>
      <c r="U20" s="14">
        <v>34</v>
      </c>
      <c r="V20" s="16">
        <v>22</v>
      </c>
      <c r="W20" s="13"/>
      <c r="X20" s="13"/>
      <c r="Y20" s="13"/>
      <c r="Z20" s="13"/>
      <c r="AA20" s="17" t="s">
        <v>67</v>
      </c>
    </row>
    <row r="21" spans="1:27" ht="24.75" customHeight="1">
      <c r="A21" s="326" t="s">
        <v>35</v>
      </c>
      <c r="B21" s="323" t="s">
        <v>255</v>
      </c>
      <c r="C21" s="340">
        <v>120</v>
      </c>
      <c r="D21" s="342">
        <f t="shared" si="3"/>
        <v>4</v>
      </c>
      <c r="E21" s="13">
        <f t="shared" si="0"/>
        <v>120</v>
      </c>
      <c r="F21" s="14">
        <f t="shared" si="5"/>
        <v>120</v>
      </c>
      <c r="G21" s="301">
        <f t="shared" si="4"/>
        <v>60</v>
      </c>
      <c r="H21" s="350">
        <v>30</v>
      </c>
      <c r="I21" s="13"/>
      <c r="J21" s="17">
        <v>30</v>
      </c>
      <c r="K21" s="350">
        <v>60</v>
      </c>
      <c r="L21" s="13"/>
      <c r="M21" s="13"/>
      <c r="N21" s="13"/>
      <c r="O21" s="13"/>
      <c r="P21" s="14" t="s">
        <v>67</v>
      </c>
      <c r="Q21" s="347">
        <f t="shared" si="1"/>
        <v>0</v>
      </c>
      <c r="R21" s="148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4.75" customHeight="1">
      <c r="A22" s="326" t="s">
        <v>36</v>
      </c>
      <c r="B22" s="323" t="s">
        <v>256</v>
      </c>
      <c r="C22" s="340">
        <v>180</v>
      </c>
      <c r="D22" s="342">
        <f t="shared" si="3"/>
        <v>6</v>
      </c>
      <c r="E22" s="13">
        <f t="shared" si="0"/>
        <v>180</v>
      </c>
      <c r="F22" s="14">
        <f t="shared" si="5"/>
        <v>180</v>
      </c>
      <c r="G22" s="301">
        <f t="shared" si="4"/>
        <v>90</v>
      </c>
      <c r="H22" s="350">
        <v>60</v>
      </c>
      <c r="I22" s="13"/>
      <c r="J22" s="17">
        <v>30</v>
      </c>
      <c r="K22" s="350">
        <v>90</v>
      </c>
      <c r="L22" s="13"/>
      <c r="M22" s="13"/>
      <c r="N22" s="13"/>
      <c r="O22" s="13" t="s">
        <v>70</v>
      </c>
      <c r="P22" s="14"/>
      <c r="Q22" s="347">
        <f t="shared" si="1"/>
        <v>0</v>
      </c>
      <c r="R22" s="148">
        <f t="shared" si="2"/>
        <v>0</v>
      </c>
      <c r="S22" s="16"/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326" t="s">
        <v>37</v>
      </c>
      <c r="B23" s="323" t="s">
        <v>257</v>
      </c>
      <c r="C23" s="340">
        <v>150</v>
      </c>
      <c r="D23" s="342">
        <f t="shared" si="3"/>
        <v>5</v>
      </c>
      <c r="E23" s="13">
        <f t="shared" si="0"/>
        <v>150</v>
      </c>
      <c r="F23" s="14">
        <f t="shared" si="5"/>
        <v>150</v>
      </c>
      <c r="G23" s="301">
        <f t="shared" si="4"/>
        <v>74</v>
      </c>
      <c r="H23" s="350">
        <v>44</v>
      </c>
      <c r="I23" s="13"/>
      <c r="J23" s="17">
        <v>30</v>
      </c>
      <c r="K23" s="350">
        <v>76</v>
      </c>
      <c r="L23" s="13"/>
      <c r="M23" s="13"/>
      <c r="N23" s="13"/>
      <c r="O23" s="13" t="s">
        <v>70</v>
      </c>
      <c r="P23" s="14"/>
      <c r="Q23" s="347">
        <f t="shared" si="1"/>
        <v>0</v>
      </c>
      <c r="R23" s="148">
        <f t="shared" si="2"/>
        <v>0</v>
      </c>
      <c r="S23" s="16"/>
      <c r="T23" s="13"/>
      <c r="U23" s="14"/>
      <c r="V23" s="16"/>
      <c r="W23" s="13"/>
      <c r="X23" s="13"/>
      <c r="Y23" s="13"/>
      <c r="Z23" s="13"/>
      <c r="AA23" s="17"/>
    </row>
    <row r="24" spans="1:27" ht="24.75" customHeight="1">
      <c r="A24" s="326" t="s">
        <v>38</v>
      </c>
      <c r="B24" s="324" t="s">
        <v>258</v>
      </c>
      <c r="C24" s="340">
        <v>180</v>
      </c>
      <c r="D24" s="342">
        <f t="shared" si="3"/>
        <v>6</v>
      </c>
      <c r="E24" s="13">
        <f t="shared" si="0"/>
        <v>180</v>
      </c>
      <c r="F24" s="14">
        <f t="shared" si="5"/>
        <v>0</v>
      </c>
      <c r="G24" s="301">
        <f t="shared" si="4"/>
        <v>0</v>
      </c>
      <c r="H24" s="354"/>
      <c r="I24" s="13"/>
      <c r="J24" s="17"/>
      <c r="K24" s="350"/>
      <c r="L24" s="13"/>
      <c r="M24" s="13"/>
      <c r="N24" s="13"/>
      <c r="O24" s="13"/>
      <c r="P24" s="14"/>
      <c r="Q24" s="347">
        <f t="shared" si="1"/>
        <v>180</v>
      </c>
      <c r="R24" s="148">
        <f t="shared" si="2"/>
        <v>120</v>
      </c>
      <c r="S24" s="167">
        <v>60</v>
      </c>
      <c r="T24" s="13">
        <v>22</v>
      </c>
      <c r="U24" s="14">
        <v>38</v>
      </c>
      <c r="V24" s="16">
        <v>60</v>
      </c>
      <c r="W24" s="13"/>
      <c r="X24" s="13"/>
      <c r="Y24" s="13"/>
      <c r="Z24" s="13" t="s">
        <v>70</v>
      </c>
      <c r="AA24" s="17"/>
    </row>
    <row r="25" spans="1:27" ht="24.75" customHeight="1" thickBot="1">
      <c r="A25" s="326" t="s">
        <v>39</v>
      </c>
      <c r="B25" s="324" t="s">
        <v>260</v>
      </c>
      <c r="C25" s="340">
        <v>90</v>
      </c>
      <c r="D25" s="342">
        <f t="shared" si="3"/>
        <v>3</v>
      </c>
      <c r="E25" s="13">
        <f t="shared" si="0"/>
        <v>90</v>
      </c>
      <c r="F25" s="14">
        <f t="shared" si="5"/>
        <v>0</v>
      </c>
      <c r="G25" s="303">
        <f t="shared" si="4"/>
        <v>0</v>
      </c>
      <c r="H25" s="354"/>
      <c r="I25" s="13"/>
      <c r="J25" s="17"/>
      <c r="K25" s="350"/>
      <c r="L25" s="13"/>
      <c r="M25" s="13"/>
      <c r="N25" s="13"/>
      <c r="O25" s="13"/>
      <c r="P25" s="14"/>
      <c r="Q25" s="347">
        <f t="shared" si="1"/>
        <v>90</v>
      </c>
      <c r="R25" s="148">
        <f t="shared" si="2"/>
        <v>68</v>
      </c>
      <c r="S25" s="167">
        <v>34</v>
      </c>
      <c r="T25" s="13"/>
      <c r="U25" s="14">
        <v>34</v>
      </c>
      <c r="V25" s="16">
        <v>22</v>
      </c>
      <c r="W25" s="13" t="s">
        <v>125</v>
      </c>
      <c r="X25" s="13"/>
      <c r="Y25" s="13"/>
      <c r="Z25" s="13"/>
      <c r="AA25" s="17" t="s">
        <v>67</v>
      </c>
    </row>
    <row r="26" spans="1:27" ht="24.75" customHeight="1" thickBot="1">
      <c r="A26" s="471" t="s">
        <v>40</v>
      </c>
      <c r="B26" s="472" t="s">
        <v>137</v>
      </c>
      <c r="C26" s="473">
        <v>120</v>
      </c>
      <c r="D26" s="482">
        <f t="shared" si="3"/>
        <v>4</v>
      </c>
      <c r="E26" s="483">
        <f t="shared" si="0"/>
        <v>120</v>
      </c>
      <c r="F26" s="484">
        <f t="shared" si="5"/>
        <v>120</v>
      </c>
      <c r="G26" s="474">
        <f t="shared" si="4"/>
        <v>60</v>
      </c>
      <c r="H26" s="475">
        <v>40</v>
      </c>
      <c r="I26" s="464"/>
      <c r="J26" s="476">
        <v>20</v>
      </c>
      <c r="K26" s="475">
        <v>60</v>
      </c>
      <c r="L26" s="464"/>
      <c r="M26" s="464"/>
      <c r="N26" s="464"/>
      <c r="O26" s="464"/>
      <c r="P26" s="465" t="s">
        <v>67</v>
      </c>
      <c r="Q26" s="477">
        <f t="shared" si="1"/>
        <v>0</v>
      </c>
      <c r="R26" s="485">
        <f t="shared" si="2"/>
        <v>0</v>
      </c>
      <c r="S26" s="478"/>
      <c r="T26" s="479"/>
      <c r="U26" s="480"/>
      <c r="V26" s="481"/>
      <c r="W26" s="464"/>
      <c r="X26" s="464"/>
      <c r="Y26" s="464"/>
      <c r="Z26" s="464"/>
      <c r="AA26" s="476"/>
    </row>
    <row r="27" spans="1:27" ht="24.75" customHeight="1" thickBot="1">
      <c r="A27" s="374" t="s">
        <v>41</v>
      </c>
      <c r="B27" s="375" t="s">
        <v>259</v>
      </c>
      <c r="C27" s="217">
        <v>150</v>
      </c>
      <c r="D27" s="218">
        <f t="shared" si="3"/>
        <v>5</v>
      </c>
      <c r="E27" s="219">
        <f t="shared" si="0"/>
        <v>150</v>
      </c>
      <c r="F27" s="220">
        <f t="shared" si="5"/>
        <v>0</v>
      </c>
      <c r="G27" s="376">
        <f t="shared" si="4"/>
        <v>0</v>
      </c>
      <c r="H27" s="377"/>
      <c r="I27" s="219"/>
      <c r="J27" s="227"/>
      <c r="K27" s="377"/>
      <c r="L27" s="219"/>
      <c r="M27" s="219"/>
      <c r="N27" s="219"/>
      <c r="O27" s="219"/>
      <c r="P27" s="220"/>
      <c r="Q27" s="378">
        <f>V27+W27+X27+Y27+R27</f>
        <v>150</v>
      </c>
      <c r="R27" s="284">
        <f t="shared" si="2"/>
        <v>68</v>
      </c>
      <c r="S27" s="222">
        <v>38</v>
      </c>
      <c r="T27" s="224"/>
      <c r="U27" s="225">
        <v>30</v>
      </c>
      <c r="V27" s="226">
        <v>82</v>
      </c>
      <c r="W27" s="219"/>
      <c r="X27" s="219"/>
      <c r="Y27" s="219"/>
      <c r="Z27" s="219"/>
      <c r="AA27" s="227" t="s">
        <v>67</v>
      </c>
    </row>
    <row r="28" spans="1:27" s="239" customFormat="1" ht="24.75" customHeight="1" thickBot="1">
      <c r="A28" s="433" t="s">
        <v>55</v>
      </c>
      <c r="B28" s="454" t="s">
        <v>100</v>
      </c>
      <c r="C28" s="468">
        <v>330</v>
      </c>
      <c r="D28" s="470">
        <f t="shared" si="3"/>
        <v>6</v>
      </c>
      <c r="E28" s="211">
        <f t="shared" si="0"/>
        <v>180</v>
      </c>
      <c r="F28" s="469">
        <f t="shared" si="5"/>
        <v>0</v>
      </c>
      <c r="G28" s="462">
        <f t="shared" si="4"/>
        <v>0</v>
      </c>
      <c r="H28" s="452"/>
      <c r="I28" s="441"/>
      <c r="J28" s="444"/>
      <c r="K28" s="452"/>
      <c r="L28" s="441"/>
      <c r="M28" s="441"/>
      <c r="N28" s="441"/>
      <c r="O28" s="441"/>
      <c r="P28" s="453"/>
      <c r="Q28" s="380">
        <f>V28+X28+Y28+R28</f>
        <v>180</v>
      </c>
      <c r="R28" s="351">
        <f t="shared" si="2"/>
        <v>120</v>
      </c>
      <c r="S28" s="455"/>
      <c r="T28" s="441"/>
      <c r="U28" s="453">
        <f>4*30</f>
        <v>120</v>
      </c>
      <c r="V28" s="455">
        <f>15*4</f>
        <v>60</v>
      </c>
      <c r="W28" s="441"/>
      <c r="X28" s="441"/>
      <c r="Y28" s="441"/>
      <c r="Z28" s="441"/>
      <c r="AA28" s="444" t="s">
        <v>67</v>
      </c>
    </row>
    <row r="29" spans="1:27" ht="24.75" customHeight="1" thickBot="1">
      <c r="A29" s="28"/>
      <c r="B29" s="29" t="s">
        <v>42</v>
      </c>
      <c r="C29" s="33">
        <f>SUM(C14:C28)</f>
        <v>2145</v>
      </c>
      <c r="D29" s="38">
        <f>SUM(D14:D28)</f>
        <v>66</v>
      </c>
      <c r="E29" s="31">
        <f>SUM(E14:E28)</f>
        <v>1980</v>
      </c>
      <c r="F29" s="32">
        <f>SUM(F14:F28)</f>
        <v>930</v>
      </c>
      <c r="G29" s="33">
        <f>SUM(G14:G27)</f>
        <v>448</v>
      </c>
      <c r="H29" s="38">
        <f>SUM(H14:H28)</f>
        <v>224</v>
      </c>
      <c r="I29" s="31">
        <f>SUM(I14:I28)</f>
        <v>0</v>
      </c>
      <c r="J29" s="31">
        <f>SUM(J14:J28)</f>
        <v>224</v>
      </c>
      <c r="K29" s="31">
        <f>SUM(K14:K28)</f>
        <v>482</v>
      </c>
      <c r="L29" s="31">
        <v>0</v>
      </c>
      <c r="M29" s="31">
        <f>SUM(M14:M28)</f>
        <v>0</v>
      </c>
      <c r="N29" s="31">
        <f>SUM(N14:N28)</f>
        <v>0</v>
      </c>
      <c r="O29" s="31">
        <v>4</v>
      </c>
      <c r="P29" s="32">
        <v>4</v>
      </c>
      <c r="Q29" s="33">
        <f>SUM(Q14:Q28)</f>
        <v>1050</v>
      </c>
      <c r="R29" s="37">
        <f>SUM(R14:R27)</f>
        <v>512</v>
      </c>
      <c r="S29" s="38">
        <f>SUM(S14:S28)</f>
        <v>238</v>
      </c>
      <c r="T29" s="31">
        <f>SUM(T14:T28)</f>
        <v>22</v>
      </c>
      <c r="U29" s="31">
        <f>SUM(U14:U28)</f>
        <v>372</v>
      </c>
      <c r="V29" s="31">
        <f>SUM(V14:V28)</f>
        <v>418</v>
      </c>
      <c r="W29" s="31">
        <v>1</v>
      </c>
      <c r="X29" s="31">
        <v>0</v>
      </c>
      <c r="Y29" s="31">
        <v>0</v>
      </c>
      <c r="Z29" s="31">
        <v>4</v>
      </c>
      <c r="AA29" s="142">
        <v>4</v>
      </c>
    </row>
    <row r="30" spans="1:27" ht="24.75" customHeight="1" thickBot="1">
      <c r="A30" s="589"/>
      <c r="B30" s="384" t="s">
        <v>43</v>
      </c>
      <c r="C30" s="46"/>
      <c r="D30" s="387"/>
      <c r="E30" s="47"/>
      <c r="F30" s="388"/>
      <c r="G30" s="389">
        <f>G29/J10</f>
        <v>29.866666666666667</v>
      </c>
      <c r="H30" s="46"/>
      <c r="I30" s="47"/>
      <c r="J30" s="47"/>
      <c r="K30" s="47"/>
      <c r="L30" s="47"/>
      <c r="M30" s="47"/>
      <c r="N30" s="47"/>
      <c r="O30" s="48"/>
      <c r="P30" s="49"/>
      <c r="Q30" s="388"/>
      <c r="R30" s="390">
        <f>SUM(R14:R27)/U10</f>
        <v>30.11764705882353</v>
      </c>
      <c r="S30" s="391"/>
      <c r="T30" s="47"/>
      <c r="U30" s="47"/>
      <c r="V30" s="47"/>
      <c r="W30" s="47"/>
      <c r="X30" s="47"/>
      <c r="Y30" s="47"/>
      <c r="Z30" s="48"/>
      <c r="AA30" s="49"/>
    </row>
    <row r="31" spans="1:27" ht="24.75" customHeight="1" thickBot="1">
      <c r="A31" s="590"/>
      <c r="B31" s="385" t="s">
        <v>44</v>
      </c>
      <c r="C31" s="57"/>
      <c r="D31" s="54"/>
      <c r="E31" s="43"/>
      <c r="F31" s="55"/>
      <c r="G31" s="56"/>
      <c r="H31" s="57"/>
      <c r="I31" s="43"/>
      <c r="J31" s="43"/>
      <c r="K31" s="43"/>
      <c r="L31" s="43"/>
      <c r="M31" s="43"/>
      <c r="N31" s="58"/>
      <c r="O31" s="39">
        <v>4</v>
      </c>
      <c r="P31" s="59"/>
      <c r="Q31" s="60"/>
      <c r="R31" s="61"/>
      <c r="S31" s="62"/>
      <c r="T31" s="62"/>
      <c r="U31" s="62"/>
      <c r="V31" s="62"/>
      <c r="W31" s="62"/>
      <c r="X31" s="62"/>
      <c r="Y31" s="58"/>
      <c r="Z31" s="39">
        <v>4</v>
      </c>
      <c r="AA31" s="144"/>
    </row>
    <row r="32" spans="1:27" ht="24.75" customHeight="1" thickBot="1">
      <c r="A32" s="590"/>
      <c r="B32" s="385" t="s">
        <v>45</v>
      </c>
      <c r="C32" s="57"/>
      <c r="D32" s="54"/>
      <c r="E32" s="43"/>
      <c r="F32" s="55"/>
      <c r="G32" s="58"/>
      <c r="H32" s="57"/>
      <c r="I32" s="43"/>
      <c r="J32" s="43"/>
      <c r="K32" s="43"/>
      <c r="L32" s="63"/>
      <c r="M32" s="43"/>
      <c r="N32" s="62"/>
      <c r="O32" s="56"/>
      <c r="P32" s="39">
        <v>4</v>
      </c>
      <c r="Q32" s="60"/>
      <c r="R32" s="62"/>
      <c r="S32" s="62"/>
      <c r="T32" s="62"/>
      <c r="U32" s="62"/>
      <c r="V32" s="62"/>
      <c r="W32" s="64"/>
      <c r="X32" s="62"/>
      <c r="Y32" s="62"/>
      <c r="Z32" s="56"/>
      <c r="AA32" s="39">
        <v>5</v>
      </c>
    </row>
    <row r="33" spans="1:27" ht="24.75" customHeight="1" thickBot="1">
      <c r="A33" s="590"/>
      <c r="B33" s="386" t="s">
        <v>46</v>
      </c>
      <c r="C33" s="68"/>
      <c r="D33" s="70"/>
      <c r="E33" s="69"/>
      <c r="F33" s="71"/>
      <c r="G33" s="70"/>
      <c r="H33" s="68"/>
      <c r="I33" s="69"/>
      <c r="J33" s="69"/>
      <c r="K33" s="70"/>
      <c r="L33" s="39">
        <v>0</v>
      </c>
      <c r="M33" s="71"/>
      <c r="N33" s="72"/>
      <c r="O33" s="72"/>
      <c r="P33" s="73"/>
      <c r="Q33" s="392"/>
      <c r="R33" s="72"/>
      <c r="S33" s="72"/>
      <c r="T33" s="72"/>
      <c r="U33" s="72"/>
      <c r="V33" s="393"/>
      <c r="W33" s="39">
        <v>1</v>
      </c>
      <c r="X33" s="71"/>
      <c r="Y33" s="69"/>
      <c r="Z33" s="72"/>
      <c r="AA33" s="73"/>
    </row>
    <row r="34" spans="1:27" ht="24.75" customHeight="1" thickBot="1">
      <c r="A34" s="591"/>
      <c r="B34" s="137" t="s">
        <v>47</v>
      </c>
      <c r="C34" s="77">
        <f>SUM(C30:C33)</f>
        <v>0</v>
      </c>
      <c r="D34" s="77">
        <f aca="true" t="shared" si="6" ref="D34:AA34">SUM(D30:D33)</f>
        <v>0</v>
      </c>
      <c r="E34" s="77">
        <f t="shared" si="6"/>
        <v>0</v>
      </c>
      <c r="F34" s="77">
        <f t="shared" si="6"/>
        <v>0</v>
      </c>
      <c r="G34" s="78">
        <f>SUM(G30:G33)</f>
        <v>29.866666666666667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2">
        <f t="shared" si="6"/>
        <v>0</v>
      </c>
      <c r="L34" s="39">
        <f t="shared" si="6"/>
        <v>0</v>
      </c>
      <c r="M34" s="38">
        <f t="shared" si="6"/>
        <v>0</v>
      </c>
      <c r="N34" s="31">
        <f t="shared" si="6"/>
        <v>0</v>
      </c>
      <c r="O34" s="31">
        <f t="shared" si="6"/>
        <v>4</v>
      </c>
      <c r="P34" s="31">
        <f t="shared" si="6"/>
        <v>4</v>
      </c>
      <c r="Q34" s="77">
        <f t="shared" si="6"/>
        <v>0</v>
      </c>
      <c r="R34" s="78">
        <f t="shared" si="6"/>
        <v>30.11764705882353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9">
        <f t="shared" si="6"/>
        <v>0</v>
      </c>
      <c r="W34" s="39">
        <f t="shared" si="6"/>
        <v>1</v>
      </c>
      <c r="X34" s="243">
        <f t="shared" si="6"/>
        <v>0</v>
      </c>
      <c r="Y34" s="77">
        <f t="shared" si="6"/>
        <v>0</v>
      </c>
      <c r="Z34" s="77">
        <f>SUM(Z30:Z33)</f>
        <v>4</v>
      </c>
      <c r="AA34" s="146">
        <f t="shared" si="6"/>
        <v>5</v>
      </c>
    </row>
    <row r="35" spans="1:27" ht="24.75" customHeight="1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6.25">
      <c r="A38" s="1"/>
      <c r="B38" s="82" t="s">
        <v>60</v>
      </c>
      <c r="C38" s="82"/>
      <c r="D38" s="82"/>
      <c r="E38" s="82"/>
      <c r="F38" s="82"/>
      <c r="G38" s="82"/>
      <c r="H38" s="82"/>
      <c r="I38" s="82"/>
      <c r="J38" s="82"/>
      <c r="K38" s="82" t="s">
        <v>59</v>
      </c>
      <c r="L38" s="82"/>
      <c r="M38" s="82"/>
      <c r="N38" s="82"/>
      <c r="O38" s="82"/>
      <c r="P38" s="82"/>
      <c r="Q38" s="82"/>
      <c r="R38" s="83"/>
      <c r="S38" s="83"/>
      <c r="T38" s="84"/>
      <c r="U38" s="85"/>
      <c r="V38" s="85"/>
      <c r="W38" s="85"/>
      <c r="X38" s="85"/>
      <c r="Y38" s="86"/>
      <c r="Z38" s="86"/>
      <c r="AA38" s="86"/>
    </row>
    <row r="39" spans="1:27" ht="26.25">
      <c r="A39" s="87"/>
      <c r="B39" s="592"/>
      <c r="C39" s="592"/>
      <c r="D39" s="592"/>
      <c r="E39" s="592"/>
      <c r="F39" s="592"/>
      <c r="G39" s="592"/>
      <c r="H39" s="592"/>
      <c r="I39" s="592"/>
      <c r="J39" s="592"/>
      <c r="K39" s="87"/>
      <c r="L39" s="87"/>
      <c r="M39" s="87"/>
      <c r="N39" s="87"/>
      <c r="O39" s="87"/>
      <c r="P39" s="87"/>
      <c r="Q39" s="87"/>
      <c r="R39" s="87" t="s">
        <v>48</v>
      </c>
      <c r="S39" s="89"/>
      <c r="T39" s="90" t="s">
        <v>49</v>
      </c>
      <c r="U39" s="91" t="s">
        <v>50</v>
      </c>
      <c r="V39" s="91"/>
      <c r="W39" s="91"/>
      <c r="X39" s="90"/>
      <c r="Y39" s="90"/>
      <c r="Z39" s="92"/>
      <c r="AA39" s="92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/>
      <c r="L40" s="82"/>
      <c r="M40" s="82"/>
      <c r="N40" s="82"/>
      <c r="O40" s="82"/>
      <c r="P40" s="82"/>
      <c r="Q40" s="82"/>
      <c r="R40" s="82"/>
      <c r="S40" s="82"/>
      <c r="T40" s="84"/>
      <c r="U40" s="84"/>
      <c r="V40" s="84"/>
      <c r="W40" s="84"/>
      <c r="X40" s="93"/>
      <c r="Y40" s="93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 t="s">
        <v>51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52</v>
      </c>
      <c r="U42" s="91" t="s">
        <v>50</v>
      </c>
      <c r="V42" s="91"/>
      <c r="W42" s="91"/>
      <c r="X42" s="90"/>
      <c r="Y42" s="90"/>
      <c r="Z42" s="94"/>
      <c r="AA42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0:A34"/>
    <mergeCell ref="B39:J39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55" zoomScaleNormal="55" zoomScalePageLayoutView="0" workbookViewId="0" topLeftCell="A1">
      <selection activeCell="A6" sqref="A6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2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276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277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128</v>
      </c>
      <c r="G10" s="573"/>
      <c r="H10" s="573"/>
      <c r="I10" s="573"/>
      <c r="J10" s="140">
        <v>15</v>
      </c>
      <c r="K10" s="573" t="s">
        <v>12</v>
      </c>
      <c r="L10" s="573"/>
      <c r="M10" s="573"/>
      <c r="N10" s="573"/>
      <c r="O10" s="573"/>
      <c r="P10" s="574"/>
      <c r="Q10" s="572" t="s">
        <v>129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130</v>
      </c>
      <c r="C14" s="339">
        <v>90</v>
      </c>
      <c r="D14" s="341">
        <f>E14/30</f>
        <v>3</v>
      </c>
      <c r="E14" s="7">
        <f aca="true" t="shared" si="0" ref="E14:E30">F14+Q14</f>
        <v>90</v>
      </c>
      <c r="F14" s="8">
        <f>G14+K14+N14+M14</f>
        <v>90</v>
      </c>
      <c r="G14" s="259">
        <f>H14+I14+J14</f>
        <v>30</v>
      </c>
      <c r="H14" s="10">
        <v>6</v>
      </c>
      <c r="I14" s="7"/>
      <c r="J14" s="11">
        <v>24</v>
      </c>
      <c r="K14" s="349">
        <v>60</v>
      </c>
      <c r="L14" s="7"/>
      <c r="M14" s="7"/>
      <c r="N14" s="7"/>
      <c r="O14" s="7" t="s">
        <v>69</v>
      </c>
      <c r="P14" s="8"/>
      <c r="Q14" s="346">
        <f aca="true" t="shared" si="1" ref="Q14:Q28">V14+X14+Y14+R14</f>
        <v>0</v>
      </c>
      <c r="R14" s="147">
        <f aca="true" t="shared" si="2" ref="R14:R30"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ht="24.75" customHeight="1">
      <c r="A15" s="409" t="s">
        <v>29</v>
      </c>
      <c r="B15" s="359" t="s">
        <v>131</v>
      </c>
      <c r="C15" s="358">
        <v>150</v>
      </c>
      <c r="D15" s="342">
        <f aca="true" t="shared" si="3" ref="D15:D30">E15/30</f>
        <v>5</v>
      </c>
      <c r="E15" s="13">
        <f t="shared" si="0"/>
        <v>150</v>
      </c>
      <c r="F15" s="14">
        <f>G15+K15+N15+M15</f>
        <v>90</v>
      </c>
      <c r="G15" s="301">
        <f aca="true" t="shared" si="4" ref="G15:G30">H15+I15+J15</f>
        <v>60</v>
      </c>
      <c r="H15" s="113"/>
      <c r="I15" s="110"/>
      <c r="J15" s="114">
        <f>4*15</f>
        <v>60</v>
      </c>
      <c r="K15" s="174">
        <v>30</v>
      </c>
      <c r="L15" s="110"/>
      <c r="M15" s="110"/>
      <c r="N15" s="110"/>
      <c r="O15" s="110"/>
      <c r="P15" s="111" t="s">
        <v>67</v>
      </c>
      <c r="Q15" s="347">
        <f t="shared" si="1"/>
        <v>60</v>
      </c>
      <c r="R15" s="148">
        <f t="shared" si="2"/>
        <v>34</v>
      </c>
      <c r="S15" s="113"/>
      <c r="T15" s="110"/>
      <c r="U15" s="111">
        <f>2*17</f>
        <v>34</v>
      </c>
      <c r="V15" s="113">
        <v>26</v>
      </c>
      <c r="W15" s="110"/>
      <c r="X15" s="110"/>
      <c r="Y15" s="110"/>
      <c r="Z15" s="110" t="s">
        <v>70</v>
      </c>
      <c r="AA15" s="114"/>
    </row>
    <row r="16" spans="1:27" ht="24.75" customHeight="1">
      <c r="A16" s="326" t="s">
        <v>30</v>
      </c>
      <c r="B16" s="359" t="s">
        <v>90</v>
      </c>
      <c r="C16" s="358">
        <v>120</v>
      </c>
      <c r="D16" s="342">
        <f t="shared" si="3"/>
        <v>4</v>
      </c>
      <c r="E16" s="13">
        <f t="shared" si="0"/>
        <v>120</v>
      </c>
      <c r="F16" s="14">
        <f>G16+K16+N16+M16</f>
        <v>60</v>
      </c>
      <c r="G16" s="301">
        <f t="shared" si="4"/>
        <v>30</v>
      </c>
      <c r="H16" s="113"/>
      <c r="I16" s="110"/>
      <c r="J16" s="114">
        <v>30</v>
      </c>
      <c r="K16" s="174">
        <v>30</v>
      </c>
      <c r="L16" s="110"/>
      <c r="M16" s="110"/>
      <c r="N16" s="110"/>
      <c r="O16" s="110"/>
      <c r="P16" s="111" t="s">
        <v>88</v>
      </c>
      <c r="Q16" s="347">
        <f t="shared" si="1"/>
        <v>60</v>
      </c>
      <c r="R16" s="148">
        <f t="shared" si="2"/>
        <v>34</v>
      </c>
      <c r="S16" s="113"/>
      <c r="T16" s="110"/>
      <c r="U16" s="111">
        <v>34</v>
      </c>
      <c r="V16" s="113">
        <v>26</v>
      </c>
      <c r="W16" s="110"/>
      <c r="X16" s="110"/>
      <c r="Y16" s="110"/>
      <c r="Z16" s="110"/>
      <c r="AA16" s="114" t="s">
        <v>67</v>
      </c>
    </row>
    <row r="17" spans="1:27" ht="24.75" customHeight="1">
      <c r="A17" s="326" t="s">
        <v>31</v>
      </c>
      <c r="B17" s="323" t="s">
        <v>142</v>
      </c>
      <c r="C17" s="340">
        <v>60</v>
      </c>
      <c r="D17" s="342">
        <f t="shared" si="3"/>
        <v>2</v>
      </c>
      <c r="E17" s="13">
        <f t="shared" si="0"/>
        <v>60</v>
      </c>
      <c r="F17" s="14">
        <f>G17+K17+N17+M17</f>
        <v>60</v>
      </c>
      <c r="G17" s="301">
        <f t="shared" si="4"/>
        <v>30</v>
      </c>
      <c r="H17" s="16">
        <v>20</v>
      </c>
      <c r="I17" s="13"/>
      <c r="J17" s="17">
        <v>10</v>
      </c>
      <c r="K17" s="350">
        <v>30</v>
      </c>
      <c r="L17" s="13"/>
      <c r="M17" s="13"/>
      <c r="N17" s="13"/>
      <c r="O17" s="13"/>
      <c r="P17" s="14" t="s">
        <v>67</v>
      </c>
      <c r="Q17" s="347">
        <f t="shared" si="1"/>
        <v>0</v>
      </c>
      <c r="R17" s="148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326" t="s">
        <v>32</v>
      </c>
      <c r="B18" s="323" t="s">
        <v>133</v>
      </c>
      <c r="C18" s="340">
        <v>150</v>
      </c>
      <c r="D18" s="342">
        <f t="shared" si="3"/>
        <v>5</v>
      </c>
      <c r="E18" s="13">
        <f t="shared" si="0"/>
        <v>150</v>
      </c>
      <c r="F18" s="14">
        <f aca="true" t="shared" si="5" ref="F18:F30">G18+K18+N18+M18</f>
        <v>150</v>
      </c>
      <c r="G18" s="301">
        <f t="shared" si="4"/>
        <v>74</v>
      </c>
      <c r="H18" s="16">
        <v>44</v>
      </c>
      <c r="I18" s="13"/>
      <c r="J18" s="17">
        <v>30</v>
      </c>
      <c r="K18" s="350">
        <v>76</v>
      </c>
      <c r="L18" s="13"/>
      <c r="M18" s="13"/>
      <c r="N18" s="13"/>
      <c r="O18" s="13" t="s">
        <v>70</v>
      </c>
      <c r="P18" s="14"/>
      <c r="Q18" s="347">
        <f t="shared" si="1"/>
        <v>0</v>
      </c>
      <c r="R18" s="148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3" t="s">
        <v>278</v>
      </c>
      <c r="C19" s="340">
        <v>105</v>
      </c>
      <c r="D19" s="342">
        <f t="shared" si="3"/>
        <v>3.5</v>
      </c>
      <c r="E19" s="13">
        <f t="shared" si="0"/>
        <v>105</v>
      </c>
      <c r="F19" s="14">
        <f>G19+K19+N19+M19</f>
        <v>0</v>
      </c>
      <c r="G19" s="301">
        <f t="shared" si="4"/>
        <v>0</v>
      </c>
      <c r="H19" s="16"/>
      <c r="I19" s="13"/>
      <c r="J19" s="17"/>
      <c r="K19" s="350"/>
      <c r="L19" s="13"/>
      <c r="M19" s="13"/>
      <c r="N19" s="13"/>
      <c r="O19" s="13"/>
      <c r="P19" s="14"/>
      <c r="Q19" s="347">
        <f t="shared" si="1"/>
        <v>105</v>
      </c>
      <c r="R19" s="148">
        <f t="shared" si="2"/>
        <v>68</v>
      </c>
      <c r="S19" s="16">
        <v>40</v>
      </c>
      <c r="T19" s="13"/>
      <c r="U19" s="14">
        <v>28</v>
      </c>
      <c r="V19" s="16">
        <v>37</v>
      </c>
      <c r="W19" s="13"/>
      <c r="X19" s="13"/>
      <c r="Y19" s="13"/>
      <c r="Z19" s="13" t="s">
        <v>70</v>
      </c>
      <c r="AA19" s="17"/>
    </row>
    <row r="20" spans="1:27" ht="24.75" customHeight="1">
      <c r="A20" s="326" t="s">
        <v>34</v>
      </c>
      <c r="B20" s="323" t="s">
        <v>279</v>
      </c>
      <c r="C20" s="340">
        <v>120</v>
      </c>
      <c r="D20" s="342">
        <f t="shared" si="3"/>
        <v>4</v>
      </c>
      <c r="E20" s="13">
        <f t="shared" si="0"/>
        <v>120</v>
      </c>
      <c r="F20" s="14">
        <f t="shared" si="5"/>
        <v>0</v>
      </c>
      <c r="G20" s="301">
        <f t="shared" si="4"/>
        <v>0</v>
      </c>
      <c r="H20" s="16"/>
      <c r="I20" s="13"/>
      <c r="J20" s="17"/>
      <c r="K20" s="350"/>
      <c r="L20" s="13"/>
      <c r="M20" s="13"/>
      <c r="N20" s="13"/>
      <c r="O20" s="13"/>
      <c r="P20" s="14"/>
      <c r="Q20" s="347">
        <f t="shared" si="1"/>
        <v>120</v>
      </c>
      <c r="R20" s="148">
        <f t="shared" si="2"/>
        <v>52</v>
      </c>
      <c r="S20" s="16">
        <v>32</v>
      </c>
      <c r="T20" s="13"/>
      <c r="U20" s="14">
        <v>20</v>
      </c>
      <c r="V20" s="16">
        <v>68</v>
      </c>
      <c r="W20" s="13"/>
      <c r="X20" s="13"/>
      <c r="Y20" s="13"/>
      <c r="Z20" s="13"/>
      <c r="AA20" s="17" t="s">
        <v>67</v>
      </c>
    </row>
    <row r="21" spans="1:27" ht="24.75" customHeight="1">
      <c r="A21" s="326" t="s">
        <v>35</v>
      </c>
      <c r="B21" s="323" t="s">
        <v>280</v>
      </c>
      <c r="C21" s="340">
        <v>90</v>
      </c>
      <c r="D21" s="342">
        <f t="shared" si="3"/>
        <v>3</v>
      </c>
      <c r="E21" s="13">
        <f t="shared" si="0"/>
        <v>90</v>
      </c>
      <c r="F21" s="14">
        <f t="shared" si="5"/>
        <v>90</v>
      </c>
      <c r="G21" s="301">
        <f t="shared" si="4"/>
        <v>46</v>
      </c>
      <c r="H21" s="16">
        <v>32</v>
      </c>
      <c r="I21" s="13"/>
      <c r="J21" s="17">
        <v>14</v>
      </c>
      <c r="K21" s="350">
        <v>44</v>
      </c>
      <c r="L21" s="13"/>
      <c r="M21" s="13"/>
      <c r="N21" s="13"/>
      <c r="O21" s="13"/>
      <c r="P21" s="14" t="s">
        <v>67</v>
      </c>
      <c r="Q21" s="347">
        <f t="shared" si="1"/>
        <v>0</v>
      </c>
      <c r="R21" s="148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4.75" customHeight="1">
      <c r="A22" s="326" t="s">
        <v>36</v>
      </c>
      <c r="B22" s="323" t="s">
        <v>281</v>
      </c>
      <c r="C22" s="340">
        <v>120</v>
      </c>
      <c r="D22" s="342">
        <f t="shared" si="3"/>
        <v>4</v>
      </c>
      <c r="E22" s="13">
        <f t="shared" si="0"/>
        <v>120</v>
      </c>
      <c r="F22" s="14">
        <f t="shared" si="5"/>
        <v>120</v>
      </c>
      <c r="G22" s="301">
        <f t="shared" si="4"/>
        <v>76</v>
      </c>
      <c r="H22" s="16">
        <v>46</v>
      </c>
      <c r="I22" s="13"/>
      <c r="J22" s="17">
        <v>30</v>
      </c>
      <c r="K22" s="350">
        <v>44</v>
      </c>
      <c r="L22" s="13"/>
      <c r="M22" s="13"/>
      <c r="N22" s="13"/>
      <c r="O22" s="13" t="s">
        <v>70</v>
      </c>
      <c r="P22" s="14"/>
      <c r="Q22" s="347">
        <f t="shared" si="1"/>
        <v>0</v>
      </c>
      <c r="R22" s="148">
        <f t="shared" si="2"/>
        <v>0</v>
      </c>
      <c r="S22" s="16"/>
      <c r="T22" s="13"/>
      <c r="U22" s="14"/>
      <c r="V22" s="16"/>
      <c r="W22" s="13"/>
      <c r="X22" s="13"/>
      <c r="Y22" s="13"/>
      <c r="Z22" s="13"/>
      <c r="AA22" s="17"/>
    </row>
    <row r="23" spans="1:27" ht="24.75" customHeight="1">
      <c r="A23" s="326" t="s">
        <v>37</v>
      </c>
      <c r="B23" s="323" t="s">
        <v>249</v>
      </c>
      <c r="C23" s="340">
        <v>90</v>
      </c>
      <c r="D23" s="342">
        <f t="shared" si="3"/>
        <v>3</v>
      </c>
      <c r="E23" s="13">
        <f t="shared" si="0"/>
        <v>90</v>
      </c>
      <c r="F23" s="14">
        <f t="shared" si="5"/>
        <v>0</v>
      </c>
      <c r="G23" s="301">
        <f t="shared" si="4"/>
        <v>0</v>
      </c>
      <c r="H23" s="16"/>
      <c r="I23" s="13"/>
      <c r="J23" s="17"/>
      <c r="K23" s="350"/>
      <c r="L23" s="13"/>
      <c r="M23" s="13"/>
      <c r="N23" s="13"/>
      <c r="O23" s="13"/>
      <c r="P23" s="14"/>
      <c r="Q23" s="347">
        <f t="shared" si="1"/>
        <v>90</v>
      </c>
      <c r="R23" s="148">
        <f t="shared" si="2"/>
        <v>50</v>
      </c>
      <c r="S23" s="16">
        <v>34</v>
      </c>
      <c r="T23" s="13"/>
      <c r="U23" s="14">
        <v>16</v>
      </c>
      <c r="V23" s="16">
        <v>40</v>
      </c>
      <c r="W23" s="13"/>
      <c r="X23" s="13"/>
      <c r="Y23" s="13"/>
      <c r="Z23" s="13"/>
      <c r="AA23" s="17" t="s">
        <v>67</v>
      </c>
    </row>
    <row r="24" spans="1:27" ht="24.75" customHeight="1">
      <c r="A24" s="326" t="s">
        <v>38</v>
      </c>
      <c r="B24" s="323" t="s">
        <v>284</v>
      </c>
      <c r="C24" s="340">
        <v>90</v>
      </c>
      <c r="D24" s="342">
        <f t="shared" si="3"/>
        <v>3</v>
      </c>
      <c r="E24" s="13">
        <f t="shared" si="0"/>
        <v>90</v>
      </c>
      <c r="F24" s="14">
        <f t="shared" si="5"/>
        <v>0</v>
      </c>
      <c r="G24" s="301">
        <f t="shared" si="4"/>
        <v>0</v>
      </c>
      <c r="H24" s="16"/>
      <c r="I24" s="13"/>
      <c r="J24" s="17"/>
      <c r="K24" s="350"/>
      <c r="L24" s="13"/>
      <c r="M24" s="13"/>
      <c r="N24" s="13"/>
      <c r="O24" s="13"/>
      <c r="P24" s="14"/>
      <c r="Q24" s="347">
        <f t="shared" si="1"/>
        <v>90</v>
      </c>
      <c r="R24" s="148">
        <f t="shared" si="2"/>
        <v>50</v>
      </c>
      <c r="S24" s="16">
        <v>30</v>
      </c>
      <c r="T24" s="13"/>
      <c r="U24" s="14">
        <v>20</v>
      </c>
      <c r="V24" s="16">
        <v>40</v>
      </c>
      <c r="W24" s="13"/>
      <c r="X24" s="13"/>
      <c r="Y24" s="13"/>
      <c r="Z24" s="13" t="s">
        <v>70</v>
      </c>
      <c r="AA24" s="17"/>
    </row>
    <row r="25" spans="1:27" ht="24.75" customHeight="1">
      <c r="A25" s="326" t="s">
        <v>39</v>
      </c>
      <c r="B25" s="323" t="s">
        <v>285</v>
      </c>
      <c r="C25" s="340">
        <v>90</v>
      </c>
      <c r="D25" s="342">
        <f t="shared" si="3"/>
        <v>3</v>
      </c>
      <c r="E25" s="13">
        <f t="shared" si="0"/>
        <v>90</v>
      </c>
      <c r="F25" s="14">
        <f t="shared" si="5"/>
        <v>90</v>
      </c>
      <c r="G25" s="301">
        <f t="shared" si="4"/>
        <v>44</v>
      </c>
      <c r="H25" s="16">
        <v>28</v>
      </c>
      <c r="I25" s="13"/>
      <c r="J25" s="17">
        <v>16</v>
      </c>
      <c r="K25" s="350">
        <v>46</v>
      </c>
      <c r="L25" s="13"/>
      <c r="M25" s="13"/>
      <c r="N25" s="13"/>
      <c r="O25" s="13"/>
      <c r="P25" s="14" t="s">
        <v>67</v>
      </c>
      <c r="Q25" s="347">
        <f t="shared" si="1"/>
        <v>0</v>
      </c>
      <c r="R25" s="148">
        <f t="shared" si="2"/>
        <v>0</v>
      </c>
      <c r="S25" s="16"/>
      <c r="T25" s="13"/>
      <c r="U25" s="14"/>
      <c r="V25" s="16"/>
      <c r="W25" s="13"/>
      <c r="X25" s="13"/>
      <c r="Y25" s="13"/>
      <c r="Z25" s="13"/>
      <c r="AA25" s="17"/>
    </row>
    <row r="26" spans="1:27" ht="20.25">
      <c r="A26" s="326" t="s">
        <v>40</v>
      </c>
      <c r="B26" s="323" t="s">
        <v>282</v>
      </c>
      <c r="C26" s="340">
        <v>90</v>
      </c>
      <c r="D26" s="342">
        <f t="shared" si="3"/>
        <v>3.5</v>
      </c>
      <c r="E26" s="13">
        <f t="shared" si="0"/>
        <v>105</v>
      </c>
      <c r="F26" s="14">
        <f t="shared" si="5"/>
        <v>0</v>
      </c>
      <c r="G26" s="301">
        <f t="shared" si="4"/>
        <v>0</v>
      </c>
      <c r="H26" s="16"/>
      <c r="I26" s="13"/>
      <c r="J26" s="17"/>
      <c r="K26" s="350"/>
      <c r="L26" s="13"/>
      <c r="M26" s="13"/>
      <c r="N26" s="13"/>
      <c r="O26" s="13"/>
      <c r="P26" s="14"/>
      <c r="Q26" s="347">
        <f t="shared" si="1"/>
        <v>105</v>
      </c>
      <c r="R26" s="148">
        <f t="shared" si="2"/>
        <v>68</v>
      </c>
      <c r="S26" s="16">
        <v>34</v>
      </c>
      <c r="T26" s="13"/>
      <c r="U26" s="14">
        <v>34</v>
      </c>
      <c r="V26" s="16">
        <v>37</v>
      </c>
      <c r="W26" s="13"/>
      <c r="X26" s="13"/>
      <c r="Y26" s="13"/>
      <c r="Z26" s="13"/>
      <c r="AA26" s="17" t="s">
        <v>67</v>
      </c>
    </row>
    <row r="27" spans="1:27" ht="24.75" customHeight="1" thickBot="1">
      <c r="A27" s="326" t="s">
        <v>41</v>
      </c>
      <c r="B27" s="324" t="s">
        <v>283</v>
      </c>
      <c r="C27" s="340">
        <v>150</v>
      </c>
      <c r="D27" s="342">
        <f t="shared" si="3"/>
        <v>5</v>
      </c>
      <c r="E27" s="13">
        <f t="shared" si="0"/>
        <v>150</v>
      </c>
      <c r="F27" s="14">
        <f t="shared" si="5"/>
        <v>0</v>
      </c>
      <c r="G27" s="301">
        <f t="shared" si="4"/>
        <v>0</v>
      </c>
      <c r="H27" s="160"/>
      <c r="I27" s="13"/>
      <c r="J27" s="17"/>
      <c r="K27" s="350"/>
      <c r="L27" s="13"/>
      <c r="M27" s="13"/>
      <c r="N27" s="13"/>
      <c r="O27" s="13"/>
      <c r="P27" s="14"/>
      <c r="Q27" s="347">
        <f t="shared" si="1"/>
        <v>150</v>
      </c>
      <c r="R27" s="148">
        <f t="shared" si="2"/>
        <v>84</v>
      </c>
      <c r="S27" s="167">
        <v>50</v>
      </c>
      <c r="T27" s="13"/>
      <c r="U27" s="14">
        <v>34</v>
      </c>
      <c r="V27" s="16">
        <v>66</v>
      </c>
      <c r="W27" s="13" t="s">
        <v>125</v>
      </c>
      <c r="X27" s="13"/>
      <c r="Y27" s="13"/>
      <c r="Z27" s="13" t="s">
        <v>70</v>
      </c>
      <c r="AA27" s="17"/>
    </row>
    <row r="28" spans="1:27" ht="24.75" customHeight="1" thickBot="1">
      <c r="A28" s="471" t="s">
        <v>55</v>
      </c>
      <c r="B28" s="472" t="s">
        <v>137</v>
      </c>
      <c r="C28" s="473">
        <v>120</v>
      </c>
      <c r="D28" s="482">
        <f t="shared" si="3"/>
        <v>4</v>
      </c>
      <c r="E28" s="483">
        <f t="shared" si="0"/>
        <v>120</v>
      </c>
      <c r="F28" s="484">
        <f t="shared" si="5"/>
        <v>120</v>
      </c>
      <c r="G28" s="474">
        <f t="shared" si="4"/>
        <v>60</v>
      </c>
      <c r="H28" s="478">
        <v>30</v>
      </c>
      <c r="I28" s="464"/>
      <c r="J28" s="476">
        <v>30</v>
      </c>
      <c r="K28" s="475">
        <v>60</v>
      </c>
      <c r="L28" s="464"/>
      <c r="M28" s="464"/>
      <c r="N28" s="464"/>
      <c r="O28" s="464"/>
      <c r="P28" s="465" t="s">
        <v>67</v>
      </c>
      <c r="Q28" s="477">
        <f t="shared" si="1"/>
        <v>0</v>
      </c>
      <c r="R28" s="485">
        <f t="shared" si="2"/>
        <v>0</v>
      </c>
      <c r="S28" s="478"/>
      <c r="T28" s="479"/>
      <c r="U28" s="480"/>
      <c r="V28" s="481"/>
      <c r="W28" s="464"/>
      <c r="X28" s="464"/>
      <c r="Y28" s="464"/>
      <c r="Z28" s="464"/>
      <c r="AA28" s="476"/>
    </row>
    <row r="29" spans="1:27" ht="24.75" customHeight="1" thickBot="1">
      <c r="A29" s="374" t="s">
        <v>56</v>
      </c>
      <c r="B29" s="375" t="s">
        <v>259</v>
      </c>
      <c r="C29" s="217">
        <v>150</v>
      </c>
      <c r="D29" s="218">
        <f t="shared" si="3"/>
        <v>4</v>
      </c>
      <c r="E29" s="219">
        <f t="shared" si="0"/>
        <v>120</v>
      </c>
      <c r="F29" s="220">
        <f t="shared" si="5"/>
        <v>0</v>
      </c>
      <c r="G29" s="376">
        <f t="shared" si="4"/>
        <v>0</v>
      </c>
      <c r="H29" s="222"/>
      <c r="I29" s="219"/>
      <c r="J29" s="227"/>
      <c r="K29" s="377"/>
      <c r="L29" s="219"/>
      <c r="M29" s="219"/>
      <c r="N29" s="219"/>
      <c r="O29" s="219"/>
      <c r="P29" s="220"/>
      <c r="Q29" s="378">
        <f>V29+W29+X29+Y29+R29</f>
        <v>120</v>
      </c>
      <c r="R29" s="284">
        <f t="shared" si="2"/>
        <v>68</v>
      </c>
      <c r="S29" s="222">
        <v>38</v>
      </c>
      <c r="T29" s="224"/>
      <c r="U29" s="225">
        <v>30</v>
      </c>
      <c r="V29" s="226">
        <v>52</v>
      </c>
      <c r="W29" s="219"/>
      <c r="X29" s="219"/>
      <c r="Y29" s="219"/>
      <c r="Z29" s="219"/>
      <c r="AA29" s="227" t="s">
        <v>67</v>
      </c>
    </row>
    <row r="30" spans="1:27" s="239" customFormat="1" ht="24.75" customHeight="1" thickBot="1">
      <c r="A30" s="433" t="s">
        <v>57</v>
      </c>
      <c r="B30" s="454" t="s">
        <v>100</v>
      </c>
      <c r="C30" s="468">
        <v>330</v>
      </c>
      <c r="D30" s="470">
        <f t="shared" si="3"/>
        <v>6</v>
      </c>
      <c r="E30" s="211">
        <f t="shared" si="0"/>
        <v>180</v>
      </c>
      <c r="F30" s="469">
        <f t="shared" si="5"/>
        <v>0</v>
      </c>
      <c r="G30" s="462">
        <f t="shared" si="4"/>
        <v>0</v>
      </c>
      <c r="H30" s="455"/>
      <c r="I30" s="441"/>
      <c r="J30" s="444"/>
      <c r="K30" s="452"/>
      <c r="L30" s="441"/>
      <c r="M30" s="441"/>
      <c r="N30" s="441"/>
      <c r="O30" s="441"/>
      <c r="P30" s="453"/>
      <c r="Q30" s="380">
        <f>V30+X30+Y30+R30</f>
        <v>180</v>
      </c>
      <c r="R30" s="351">
        <f t="shared" si="2"/>
        <v>120</v>
      </c>
      <c r="S30" s="455"/>
      <c r="T30" s="441"/>
      <c r="U30" s="453">
        <f>4*30</f>
        <v>120</v>
      </c>
      <c r="V30" s="455">
        <f>4*15</f>
        <v>60</v>
      </c>
      <c r="W30" s="441"/>
      <c r="X30" s="441"/>
      <c r="Y30" s="441"/>
      <c r="Z30" s="441"/>
      <c r="AA30" s="444" t="s">
        <v>67</v>
      </c>
    </row>
    <row r="31" spans="1:27" ht="24.75" customHeight="1" thickBot="1">
      <c r="A31" s="28"/>
      <c r="B31" s="29" t="s">
        <v>42</v>
      </c>
      <c r="C31" s="33">
        <f>SUM(C14:C30)</f>
        <v>2115</v>
      </c>
      <c r="D31" s="38">
        <f>SUM(D14:D30)</f>
        <v>65</v>
      </c>
      <c r="E31" s="31">
        <f>SUM(E14:E30)</f>
        <v>1950</v>
      </c>
      <c r="F31" s="32">
        <f>SUM(F14:F30)</f>
        <v>870</v>
      </c>
      <c r="G31" s="33">
        <f>SUM(G14:G29)</f>
        <v>450</v>
      </c>
      <c r="H31" s="30">
        <f>SUM(H14:H30)</f>
        <v>206</v>
      </c>
      <c r="I31" s="31">
        <f>SUM(I14:I30)</f>
        <v>0</v>
      </c>
      <c r="J31" s="142">
        <f>SUM(J14:J30)</f>
        <v>244</v>
      </c>
      <c r="K31" s="38">
        <f>SUM(K14:K30)</f>
        <v>420</v>
      </c>
      <c r="L31" s="31">
        <v>0</v>
      </c>
      <c r="M31" s="31">
        <f>SUM(M14:M30)</f>
        <v>0</v>
      </c>
      <c r="N31" s="31">
        <f>SUM(N14:N30)</f>
        <v>0</v>
      </c>
      <c r="O31" s="31">
        <v>3</v>
      </c>
      <c r="P31" s="32">
        <v>6</v>
      </c>
      <c r="Q31" s="33">
        <f>SUM(Q14:Q30)</f>
        <v>1080</v>
      </c>
      <c r="R31" s="37">
        <f>SUM(R14:R29)</f>
        <v>508</v>
      </c>
      <c r="S31" s="38">
        <f>SUM(S14:S30)</f>
        <v>258</v>
      </c>
      <c r="T31" s="31">
        <f>SUM(T14:T30)</f>
        <v>0</v>
      </c>
      <c r="U31" s="32">
        <f>SUM(U14:U30)</f>
        <v>370</v>
      </c>
      <c r="V31" s="30">
        <f>SUM(V14:V30)</f>
        <v>452</v>
      </c>
      <c r="W31" s="31">
        <v>1</v>
      </c>
      <c r="X31" s="31">
        <v>0</v>
      </c>
      <c r="Y31" s="31">
        <v>0</v>
      </c>
      <c r="Z31" s="31">
        <v>4</v>
      </c>
      <c r="AA31" s="142">
        <v>5</v>
      </c>
    </row>
    <row r="32" spans="1:27" ht="24.75" customHeight="1" thickBot="1">
      <c r="A32" s="589"/>
      <c r="B32" s="384" t="s">
        <v>43</v>
      </c>
      <c r="C32" s="46"/>
      <c r="D32" s="387"/>
      <c r="E32" s="47"/>
      <c r="F32" s="388"/>
      <c r="G32" s="389">
        <f>G31/J10</f>
        <v>30</v>
      </c>
      <c r="H32" s="46"/>
      <c r="I32" s="47"/>
      <c r="J32" s="47"/>
      <c r="K32" s="47"/>
      <c r="L32" s="47"/>
      <c r="M32" s="47"/>
      <c r="N32" s="47"/>
      <c r="O32" s="48"/>
      <c r="P32" s="49"/>
      <c r="Q32" s="388"/>
      <c r="R32" s="390">
        <f>SUM(R14:R29)/U10</f>
        <v>29.88235294117647</v>
      </c>
      <c r="S32" s="391"/>
      <c r="T32" s="47"/>
      <c r="U32" s="47"/>
      <c r="V32" s="47"/>
      <c r="W32" s="47"/>
      <c r="X32" s="47"/>
      <c r="Y32" s="47"/>
      <c r="Z32" s="48"/>
      <c r="AA32" s="49"/>
    </row>
    <row r="33" spans="1:27" ht="24.75" customHeight="1" thickBot="1">
      <c r="A33" s="590"/>
      <c r="B33" s="385" t="s">
        <v>44</v>
      </c>
      <c r="C33" s="57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3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4</v>
      </c>
      <c r="AA33" s="144"/>
    </row>
    <row r="34" spans="1:27" ht="24.75" customHeight="1" thickBot="1">
      <c r="A34" s="590"/>
      <c r="B34" s="385" t="s">
        <v>45</v>
      </c>
      <c r="C34" s="57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6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6</v>
      </c>
    </row>
    <row r="35" spans="1:27" ht="24.75" customHeight="1" thickBot="1">
      <c r="A35" s="590"/>
      <c r="B35" s="386" t="s">
        <v>46</v>
      </c>
      <c r="C35" s="68"/>
      <c r="D35" s="70"/>
      <c r="E35" s="69"/>
      <c r="F35" s="71"/>
      <c r="G35" s="70"/>
      <c r="H35" s="68"/>
      <c r="I35" s="69"/>
      <c r="J35" s="69"/>
      <c r="K35" s="70"/>
      <c r="L35" s="39">
        <v>0</v>
      </c>
      <c r="M35" s="71"/>
      <c r="N35" s="72"/>
      <c r="O35" s="72"/>
      <c r="P35" s="73"/>
      <c r="Q35" s="392"/>
      <c r="R35" s="72"/>
      <c r="S35" s="72"/>
      <c r="T35" s="72"/>
      <c r="U35" s="72"/>
      <c r="V35" s="393"/>
      <c r="W35" s="39">
        <v>1</v>
      </c>
      <c r="X35" s="71"/>
      <c r="Y35" s="69"/>
      <c r="Z35" s="72"/>
      <c r="AA35" s="73"/>
    </row>
    <row r="36" spans="1:27" ht="24.75" customHeight="1" thickBot="1">
      <c r="A36" s="591"/>
      <c r="B36" s="137" t="s">
        <v>47</v>
      </c>
      <c r="C36" s="77">
        <f>SUM(C32:C35)</f>
        <v>0</v>
      </c>
      <c r="D36" s="77">
        <f aca="true" t="shared" si="6" ref="D36:AA36">SUM(D32:D35)</f>
        <v>0</v>
      </c>
      <c r="E36" s="77">
        <f t="shared" si="6"/>
        <v>0</v>
      </c>
      <c r="F36" s="77">
        <f t="shared" si="6"/>
        <v>0</v>
      </c>
      <c r="G36" s="78">
        <f>SUM(G32:G35)</f>
        <v>30</v>
      </c>
      <c r="H36" s="31">
        <f t="shared" si="6"/>
        <v>0</v>
      </c>
      <c r="I36" s="31">
        <f t="shared" si="6"/>
        <v>0</v>
      </c>
      <c r="J36" s="31">
        <f t="shared" si="6"/>
        <v>0</v>
      </c>
      <c r="K36" s="32">
        <f t="shared" si="6"/>
        <v>0</v>
      </c>
      <c r="L36" s="39">
        <f t="shared" si="6"/>
        <v>0</v>
      </c>
      <c r="M36" s="38">
        <f t="shared" si="6"/>
        <v>0</v>
      </c>
      <c r="N36" s="31">
        <f t="shared" si="6"/>
        <v>0</v>
      </c>
      <c r="O36" s="31">
        <f t="shared" si="6"/>
        <v>3</v>
      </c>
      <c r="P36" s="31">
        <f t="shared" si="6"/>
        <v>6</v>
      </c>
      <c r="Q36" s="77">
        <f t="shared" si="6"/>
        <v>0</v>
      </c>
      <c r="R36" s="78">
        <f t="shared" si="6"/>
        <v>29.88235294117647</v>
      </c>
      <c r="S36" s="77">
        <f t="shared" si="6"/>
        <v>0</v>
      </c>
      <c r="T36" s="77">
        <f t="shared" si="6"/>
        <v>0</v>
      </c>
      <c r="U36" s="77">
        <f t="shared" si="6"/>
        <v>0</v>
      </c>
      <c r="V36" s="79">
        <f t="shared" si="6"/>
        <v>0</v>
      </c>
      <c r="W36" s="39">
        <f t="shared" si="6"/>
        <v>1</v>
      </c>
      <c r="X36" s="243">
        <f t="shared" si="6"/>
        <v>0</v>
      </c>
      <c r="Y36" s="77">
        <f t="shared" si="6"/>
        <v>0</v>
      </c>
      <c r="Z36" s="77">
        <f>SUM(Z32:Z35)</f>
        <v>4</v>
      </c>
      <c r="AA36" s="146">
        <f t="shared" si="6"/>
        <v>6</v>
      </c>
    </row>
    <row r="37" spans="1:27" ht="24.75" customHeight="1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2"/>
  <sheetViews>
    <sheetView zoomScale="55" zoomScaleNormal="55" zoomScalePageLayoutView="0" workbookViewId="0" topLeftCell="A12">
      <selection activeCell="U14" sqref="U14:U25"/>
    </sheetView>
  </sheetViews>
  <sheetFormatPr defaultColWidth="9.140625" defaultRowHeight="15"/>
  <cols>
    <col min="2" max="2" width="89.71093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316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327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328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5" t="s">
        <v>7</v>
      </c>
      <c r="B10" s="568" t="s">
        <v>8</v>
      </c>
      <c r="C10" s="565" t="s">
        <v>9</v>
      </c>
      <c r="D10" s="566" t="s">
        <v>10</v>
      </c>
      <c r="E10" s="594" t="s">
        <v>11</v>
      </c>
      <c r="F10" s="596" t="s">
        <v>53</v>
      </c>
      <c r="G10" s="597"/>
      <c r="H10" s="597"/>
      <c r="I10" s="597"/>
      <c r="J10" s="262">
        <v>11</v>
      </c>
      <c r="K10" s="597" t="s">
        <v>12</v>
      </c>
      <c r="L10" s="597"/>
      <c r="M10" s="597"/>
      <c r="N10" s="597"/>
      <c r="O10" s="597"/>
      <c r="P10" s="598"/>
      <c r="Q10" s="572" t="s">
        <v>329</v>
      </c>
      <c r="R10" s="573"/>
      <c r="S10" s="573"/>
      <c r="T10" s="574"/>
      <c r="U10" s="140">
        <v>11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601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600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5"/>
      <c r="B13" s="568"/>
      <c r="C13" s="565"/>
      <c r="D13" s="564"/>
      <c r="E13" s="595"/>
      <c r="F13" s="606"/>
      <c r="G13" s="599"/>
      <c r="H13" s="263" t="s">
        <v>25</v>
      </c>
      <c r="I13" s="264" t="s">
        <v>26</v>
      </c>
      <c r="J13" s="265" t="s">
        <v>27</v>
      </c>
      <c r="K13" s="602"/>
      <c r="L13" s="603"/>
      <c r="M13" s="603"/>
      <c r="N13" s="603"/>
      <c r="O13" s="604"/>
      <c r="P13" s="605"/>
      <c r="Q13" s="564"/>
      <c r="R13" s="599"/>
      <c r="S13" s="263" t="s">
        <v>25</v>
      </c>
      <c r="T13" s="264" t="s">
        <v>26</v>
      </c>
      <c r="U13" s="510" t="s">
        <v>27</v>
      </c>
      <c r="V13" s="602"/>
      <c r="W13" s="603"/>
      <c r="X13" s="603"/>
      <c r="Y13" s="603"/>
      <c r="Z13" s="604"/>
      <c r="AA13" s="605"/>
    </row>
    <row r="14" spans="1:27" s="239" customFormat="1" ht="24.75" customHeight="1">
      <c r="A14" s="368" t="s">
        <v>28</v>
      </c>
      <c r="B14" s="414" t="s">
        <v>350</v>
      </c>
      <c r="C14" s="534">
        <v>105</v>
      </c>
      <c r="D14" s="502">
        <f>E14/30</f>
        <v>3.5</v>
      </c>
      <c r="E14" s="370">
        <f aca="true" t="shared" si="0" ref="E14:E28">F14+Q14</f>
        <v>105</v>
      </c>
      <c r="F14" s="371">
        <f>G14+K14+N14+M14</f>
        <v>0</v>
      </c>
      <c r="G14" s="503">
        <f aca="true" t="shared" si="1" ref="G14:G28">H14+I14+J14</f>
        <v>0</v>
      </c>
      <c r="H14" s="373"/>
      <c r="I14" s="370"/>
      <c r="J14" s="249"/>
      <c r="K14" s="373"/>
      <c r="L14" s="370"/>
      <c r="M14" s="370"/>
      <c r="N14" s="370"/>
      <c r="O14" s="370"/>
      <c r="P14" s="249"/>
      <c r="Q14" s="504">
        <f aca="true" t="shared" si="2" ref="Q14:Q23">V14+X14+Y14+R14</f>
        <v>105</v>
      </c>
      <c r="R14" s="505">
        <v>44</v>
      </c>
      <c r="S14" s="373">
        <v>24</v>
      </c>
      <c r="T14" s="370"/>
      <c r="U14" s="249">
        <v>20</v>
      </c>
      <c r="V14" s="373">
        <v>61</v>
      </c>
      <c r="W14" s="370"/>
      <c r="X14" s="370"/>
      <c r="Y14" s="370"/>
      <c r="Z14" s="370" t="s">
        <v>70</v>
      </c>
      <c r="AA14" s="249"/>
    </row>
    <row r="15" spans="1:27" s="239" customFormat="1" ht="24.75" customHeight="1">
      <c r="A15" s="368" t="s">
        <v>29</v>
      </c>
      <c r="B15" s="414" t="s">
        <v>351</v>
      </c>
      <c r="C15" s="534">
        <v>60</v>
      </c>
      <c r="D15" s="502">
        <f>E15/30</f>
        <v>2</v>
      </c>
      <c r="E15" s="370">
        <f t="shared" si="0"/>
        <v>60</v>
      </c>
      <c r="F15" s="371">
        <f>G15+K15+N15+M15</f>
        <v>0</v>
      </c>
      <c r="G15" s="503">
        <f t="shared" si="1"/>
        <v>0</v>
      </c>
      <c r="H15" s="373"/>
      <c r="I15" s="370"/>
      <c r="J15" s="249"/>
      <c r="K15" s="373"/>
      <c r="L15" s="370"/>
      <c r="M15" s="370"/>
      <c r="N15" s="370"/>
      <c r="O15" s="370"/>
      <c r="P15" s="249"/>
      <c r="Q15" s="504">
        <f t="shared" si="2"/>
        <v>60</v>
      </c>
      <c r="R15" s="505">
        <v>44</v>
      </c>
      <c r="S15" s="373">
        <v>24</v>
      </c>
      <c r="T15" s="370"/>
      <c r="U15" s="249">
        <v>20</v>
      </c>
      <c r="V15" s="373">
        <v>16</v>
      </c>
      <c r="W15" s="370"/>
      <c r="X15" s="370"/>
      <c r="Y15" s="370"/>
      <c r="Z15" s="370"/>
      <c r="AA15" s="249" t="s">
        <v>67</v>
      </c>
    </row>
    <row r="16" spans="1:27" s="239" customFormat="1" ht="20.25">
      <c r="A16" s="336" t="s">
        <v>30</v>
      </c>
      <c r="B16" s="323" t="s">
        <v>352</v>
      </c>
      <c r="C16" s="235">
        <v>120</v>
      </c>
      <c r="D16" s="498">
        <f aca="true" t="shared" si="3" ref="D16:D27">E16/30</f>
        <v>4</v>
      </c>
      <c r="E16" s="120">
        <f t="shared" si="0"/>
        <v>120</v>
      </c>
      <c r="F16" s="21">
        <f aca="true" t="shared" si="4" ref="F16:F27">G16+K16+N16+M16</f>
        <v>120</v>
      </c>
      <c r="G16" s="499">
        <f t="shared" si="1"/>
        <v>66</v>
      </c>
      <c r="H16" s="119"/>
      <c r="I16" s="120"/>
      <c r="J16" s="121">
        <v>66</v>
      </c>
      <c r="K16" s="119">
        <v>54</v>
      </c>
      <c r="L16" s="120"/>
      <c r="M16" s="120"/>
      <c r="N16" s="120"/>
      <c r="O16" s="120" t="s">
        <v>70</v>
      </c>
      <c r="P16" s="121"/>
      <c r="Q16" s="500">
        <f t="shared" si="2"/>
        <v>0</v>
      </c>
      <c r="R16" s="251">
        <f aca="true" t="shared" si="5" ref="R16:R28">S16+T16+U16</f>
        <v>0</v>
      </c>
      <c r="S16" s="119"/>
      <c r="T16" s="120"/>
      <c r="U16" s="121"/>
      <c r="V16" s="119"/>
      <c r="W16" s="120"/>
      <c r="X16" s="120"/>
      <c r="Y16" s="120"/>
      <c r="Z16" s="120"/>
      <c r="AA16" s="121"/>
    </row>
    <row r="17" spans="1:27" s="239" customFormat="1" ht="24.75" customHeight="1">
      <c r="A17" s="535" t="s">
        <v>31</v>
      </c>
      <c r="B17" s="445" t="s">
        <v>353</v>
      </c>
      <c r="C17" s="536">
        <v>90</v>
      </c>
      <c r="D17" s="498">
        <f t="shared" si="3"/>
        <v>3</v>
      </c>
      <c r="E17" s="120">
        <f t="shared" si="0"/>
        <v>90</v>
      </c>
      <c r="F17" s="21">
        <f t="shared" si="4"/>
        <v>0</v>
      </c>
      <c r="G17" s="499">
        <f t="shared" si="1"/>
        <v>0</v>
      </c>
      <c r="H17" s="537"/>
      <c r="I17" s="23"/>
      <c r="J17" s="276"/>
      <c r="K17" s="273"/>
      <c r="L17" s="23"/>
      <c r="M17" s="23"/>
      <c r="N17" s="23"/>
      <c r="O17" s="23"/>
      <c r="P17" s="276"/>
      <c r="Q17" s="500">
        <f t="shared" si="2"/>
        <v>90</v>
      </c>
      <c r="R17" s="251">
        <f t="shared" si="5"/>
        <v>44</v>
      </c>
      <c r="S17" s="538">
        <v>28</v>
      </c>
      <c r="T17" s="23"/>
      <c r="U17" s="276">
        <v>16</v>
      </c>
      <c r="V17" s="273">
        <v>46</v>
      </c>
      <c r="W17" s="23"/>
      <c r="X17" s="23"/>
      <c r="Y17" s="23"/>
      <c r="Z17" s="23"/>
      <c r="AA17" s="276" t="s">
        <v>67</v>
      </c>
    </row>
    <row r="18" spans="1:27" s="239" customFormat="1" ht="24.75" customHeight="1">
      <c r="A18" s="535" t="s">
        <v>32</v>
      </c>
      <c r="B18" s="445" t="s">
        <v>331</v>
      </c>
      <c r="C18" s="536">
        <v>60</v>
      </c>
      <c r="D18" s="498">
        <f t="shared" si="3"/>
        <v>2</v>
      </c>
      <c r="E18" s="120">
        <f t="shared" si="0"/>
        <v>60</v>
      </c>
      <c r="F18" s="21">
        <f t="shared" si="4"/>
        <v>60</v>
      </c>
      <c r="G18" s="499">
        <f t="shared" si="1"/>
        <v>22</v>
      </c>
      <c r="H18" s="537">
        <v>8</v>
      </c>
      <c r="I18" s="23"/>
      <c r="J18" s="276">
        <v>14</v>
      </c>
      <c r="K18" s="273">
        <v>38</v>
      </c>
      <c r="L18" s="23"/>
      <c r="M18" s="23"/>
      <c r="N18" s="23"/>
      <c r="O18" s="23"/>
      <c r="P18" s="276" t="s">
        <v>67</v>
      </c>
      <c r="Q18" s="539">
        <f t="shared" si="2"/>
        <v>0</v>
      </c>
      <c r="R18" s="540">
        <f t="shared" si="5"/>
        <v>0</v>
      </c>
      <c r="S18" s="538"/>
      <c r="T18" s="23"/>
      <c r="U18" s="276"/>
      <c r="V18" s="273"/>
      <c r="W18" s="23"/>
      <c r="X18" s="23"/>
      <c r="Y18" s="23"/>
      <c r="Z18" s="23"/>
      <c r="AA18" s="276"/>
    </row>
    <row r="19" spans="1:27" s="239" customFormat="1" ht="24.75" customHeight="1">
      <c r="A19" s="535" t="s">
        <v>33</v>
      </c>
      <c r="B19" s="445" t="s">
        <v>354</v>
      </c>
      <c r="C19" s="536">
        <v>120</v>
      </c>
      <c r="D19" s="498">
        <f t="shared" si="3"/>
        <v>4</v>
      </c>
      <c r="E19" s="120">
        <f t="shared" si="0"/>
        <v>120</v>
      </c>
      <c r="F19" s="21">
        <f t="shared" si="4"/>
        <v>0</v>
      </c>
      <c r="G19" s="499">
        <f t="shared" si="1"/>
        <v>0</v>
      </c>
      <c r="H19" s="537"/>
      <c r="I19" s="23"/>
      <c r="J19" s="276"/>
      <c r="K19" s="273"/>
      <c r="L19" s="23"/>
      <c r="M19" s="23"/>
      <c r="N19" s="23"/>
      <c r="O19" s="23"/>
      <c r="P19" s="276"/>
      <c r="Q19" s="539">
        <f t="shared" si="2"/>
        <v>120</v>
      </c>
      <c r="R19" s="540">
        <f t="shared" si="5"/>
        <v>88</v>
      </c>
      <c r="S19" s="538">
        <v>40</v>
      </c>
      <c r="T19" s="23"/>
      <c r="U19" s="276">
        <v>48</v>
      </c>
      <c r="V19" s="273">
        <v>32</v>
      </c>
      <c r="W19" s="23"/>
      <c r="X19" s="23"/>
      <c r="Y19" s="23"/>
      <c r="Z19" s="23" t="s">
        <v>70</v>
      </c>
      <c r="AA19" s="276"/>
    </row>
    <row r="20" spans="1:27" s="239" customFormat="1" ht="24.75" customHeight="1">
      <c r="A20" s="535" t="s">
        <v>34</v>
      </c>
      <c r="B20" s="445" t="s">
        <v>355</v>
      </c>
      <c r="C20" s="536">
        <v>90</v>
      </c>
      <c r="D20" s="498">
        <f t="shared" si="3"/>
        <v>3</v>
      </c>
      <c r="E20" s="120">
        <f t="shared" si="0"/>
        <v>90</v>
      </c>
      <c r="F20" s="21">
        <f t="shared" si="4"/>
        <v>90</v>
      </c>
      <c r="G20" s="499">
        <f t="shared" si="1"/>
        <v>66</v>
      </c>
      <c r="H20" s="537">
        <v>20</v>
      </c>
      <c r="I20" s="23"/>
      <c r="J20" s="276">
        <v>46</v>
      </c>
      <c r="K20" s="273">
        <v>24</v>
      </c>
      <c r="L20" s="23" t="s">
        <v>125</v>
      </c>
      <c r="M20" s="23"/>
      <c r="N20" s="23"/>
      <c r="O20" s="23"/>
      <c r="P20" s="276" t="s">
        <v>67</v>
      </c>
      <c r="Q20" s="539">
        <f t="shared" si="2"/>
        <v>0</v>
      </c>
      <c r="R20" s="540">
        <f t="shared" si="5"/>
        <v>0</v>
      </c>
      <c r="S20" s="538"/>
      <c r="T20" s="23"/>
      <c r="U20" s="276"/>
      <c r="V20" s="273"/>
      <c r="W20" s="23"/>
      <c r="X20" s="23"/>
      <c r="Y20" s="23"/>
      <c r="Z20" s="23"/>
      <c r="AA20" s="276"/>
    </row>
    <row r="21" spans="1:27" s="239" customFormat="1" ht="24.75" customHeight="1">
      <c r="A21" s="535" t="s">
        <v>35</v>
      </c>
      <c r="B21" s="445" t="s">
        <v>333</v>
      </c>
      <c r="C21" s="536">
        <v>360</v>
      </c>
      <c r="D21" s="498">
        <f t="shared" si="3"/>
        <v>5</v>
      </c>
      <c r="E21" s="120">
        <f t="shared" si="0"/>
        <v>150</v>
      </c>
      <c r="F21" s="21">
        <f t="shared" si="4"/>
        <v>150</v>
      </c>
      <c r="G21" s="499">
        <f t="shared" si="1"/>
        <v>66</v>
      </c>
      <c r="H21" s="537">
        <v>32</v>
      </c>
      <c r="I21" s="23"/>
      <c r="J21" s="276">
        <v>34</v>
      </c>
      <c r="K21" s="273">
        <v>84</v>
      </c>
      <c r="L21" s="23" t="s">
        <v>125</v>
      </c>
      <c r="M21" s="23"/>
      <c r="N21" s="23"/>
      <c r="O21" s="23" t="s">
        <v>70</v>
      </c>
      <c r="P21" s="276"/>
      <c r="Q21" s="539">
        <f t="shared" si="2"/>
        <v>0</v>
      </c>
      <c r="R21" s="540">
        <f t="shared" si="5"/>
        <v>0</v>
      </c>
      <c r="S21" s="538"/>
      <c r="T21" s="23"/>
      <c r="U21" s="276"/>
      <c r="V21" s="273"/>
      <c r="W21" s="23"/>
      <c r="X21" s="23"/>
      <c r="Y21" s="23"/>
      <c r="Z21" s="23"/>
      <c r="AA21" s="276"/>
    </row>
    <row r="22" spans="1:27" s="239" customFormat="1" ht="24.75" customHeight="1">
      <c r="A22" s="535" t="s">
        <v>36</v>
      </c>
      <c r="B22" s="445" t="s">
        <v>332</v>
      </c>
      <c r="C22" s="536">
        <v>120</v>
      </c>
      <c r="D22" s="498">
        <f t="shared" si="3"/>
        <v>4</v>
      </c>
      <c r="E22" s="120">
        <f t="shared" si="0"/>
        <v>120</v>
      </c>
      <c r="F22" s="21">
        <f t="shared" si="4"/>
        <v>120</v>
      </c>
      <c r="G22" s="499">
        <f t="shared" si="1"/>
        <v>44</v>
      </c>
      <c r="H22" s="537">
        <v>10</v>
      </c>
      <c r="I22" s="23"/>
      <c r="J22" s="276">
        <v>34</v>
      </c>
      <c r="K22" s="273">
        <v>76</v>
      </c>
      <c r="L22" s="23"/>
      <c r="M22" s="23"/>
      <c r="N22" s="23"/>
      <c r="O22" s="23" t="s">
        <v>70</v>
      </c>
      <c r="P22" s="276"/>
      <c r="Q22" s="539">
        <f t="shared" si="2"/>
        <v>0</v>
      </c>
      <c r="R22" s="540">
        <f t="shared" si="5"/>
        <v>0</v>
      </c>
      <c r="S22" s="538"/>
      <c r="T22" s="23"/>
      <c r="U22" s="276"/>
      <c r="V22" s="273"/>
      <c r="W22" s="23"/>
      <c r="X22" s="23"/>
      <c r="Y22" s="23"/>
      <c r="Z22" s="23"/>
      <c r="AA22" s="276"/>
    </row>
    <row r="23" spans="1:27" s="239" customFormat="1" ht="24.75" customHeight="1" thickBot="1">
      <c r="A23" s="535" t="s">
        <v>37</v>
      </c>
      <c r="B23" s="445" t="s">
        <v>330</v>
      </c>
      <c r="C23" s="536">
        <v>75</v>
      </c>
      <c r="D23" s="498">
        <f t="shared" si="3"/>
        <v>2.5</v>
      </c>
      <c r="E23" s="120">
        <f t="shared" si="0"/>
        <v>75</v>
      </c>
      <c r="F23" s="21">
        <f t="shared" si="4"/>
        <v>0</v>
      </c>
      <c r="G23" s="499">
        <f t="shared" si="1"/>
        <v>0</v>
      </c>
      <c r="H23" s="537"/>
      <c r="I23" s="23"/>
      <c r="J23" s="276"/>
      <c r="K23" s="273"/>
      <c r="L23" s="23"/>
      <c r="M23" s="23"/>
      <c r="N23" s="23"/>
      <c r="O23" s="23"/>
      <c r="P23" s="276"/>
      <c r="Q23" s="539">
        <f t="shared" si="2"/>
        <v>75</v>
      </c>
      <c r="R23" s="540">
        <f t="shared" si="5"/>
        <v>56</v>
      </c>
      <c r="S23" s="538">
        <v>36</v>
      </c>
      <c r="T23" s="23"/>
      <c r="U23" s="276">
        <v>20</v>
      </c>
      <c r="V23" s="273">
        <v>19</v>
      </c>
      <c r="W23" s="23"/>
      <c r="X23" s="23"/>
      <c r="Y23" s="23"/>
      <c r="Z23" s="23"/>
      <c r="AA23" s="276" t="s">
        <v>67</v>
      </c>
    </row>
    <row r="24" spans="1:27" s="239" customFormat="1" ht="24.75" customHeight="1" thickBot="1">
      <c r="A24" s="542" t="s">
        <v>38</v>
      </c>
      <c r="B24" s="546" t="s">
        <v>356</v>
      </c>
      <c r="C24" s="544">
        <v>150</v>
      </c>
      <c r="D24" s="532">
        <f t="shared" si="3"/>
        <v>5</v>
      </c>
      <c r="E24" s="518">
        <f t="shared" si="0"/>
        <v>150</v>
      </c>
      <c r="F24" s="533">
        <f t="shared" si="4"/>
        <v>150</v>
      </c>
      <c r="G24" s="516">
        <f t="shared" si="1"/>
        <v>66</v>
      </c>
      <c r="H24" s="528">
        <v>36</v>
      </c>
      <c r="I24" s="515"/>
      <c r="J24" s="529">
        <v>30</v>
      </c>
      <c r="K24" s="530">
        <v>84</v>
      </c>
      <c r="L24" s="515"/>
      <c r="M24" s="515"/>
      <c r="N24" s="515"/>
      <c r="O24" s="515"/>
      <c r="P24" s="529" t="s">
        <v>67</v>
      </c>
      <c r="Q24" s="520">
        <f>V24+W24+X24+Y24+R24</f>
        <v>0</v>
      </c>
      <c r="R24" s="521">
        <f t="shared" si="5"/>
        <v>0</v>
      </c>
      <c r="S24" s="531"/>
      <c r="T24" s="515"/>
      <c r="U24" s="529"/>
      <c r="V24" s="530"/>
      <c r="W24" s="515"/>
      <c r="X24" s="515"/>
      <c r="Y24" s="515"/>
      <c r="Z24" s="515"/>
      <c r="AA24" s="529"/>
    </row>
    <row r="25" spans="1:27" s="239" customFormat="1" ht="24.75" customHeight="1" thickBot="1">
      <c r="A25" s="543" t="s">
        <v>39</v>
      </c>
      <c r="B25" s="547" t="s">
        <v>357</v>
      </c>
      <c r="C25" s="545">
        <v>150</v>
      </c>
      <c r="D25" s="532">
        <f t="shared" si="3"/>
        <v>5</v>
      </c>
      <c r="E25" s="518">
        <f t="shared" si="0"/>
        <v>150</v>
      </c>
      <c r="F25" s="533">
        <f t="shared" si="4"/>
        <v>0</v>
      </c>
      <c r="G25" s="516">
        <f t="shared" si="1"/>
        <v>0</v>
      </c>
      <c r="H25" s="517"/>
      <c r="I25" s="518"/>
      <c r="J25" s="519"/>
      <c r="K25" s="517"/>
      <c r="L25" s="518"/>
      <c r="M25" s="518"/>
      <c r="N25" s="518"/>
      <c r="O25" s="518"/>
      <c r="P25" s="519"/>
      <c r="Q25" s="520">
        <f>V25+W25+X25+Y25+R25</f>
        <v>150</v>
      </c>
      <c r="R25" s="521">
        <f t="shared" si="5"/>
        <v>44</v>
      </c>
      <c r="S25" s="517">
        <v>24</v>
      </c>
      <c r="T25" s="522"/>
      <c r="U25" s="523">
        <v>20</v>
      </c>
      <c r="V25" s="524">
        <v>106</v>
      </c>
      <c r="W25" s="518"/>
      <c r="X25" s="518"/>
      <c r="Y25" s="518"/>
      <c r="Z25" s="518"/>
      <c r="AA25" s="519" t="s">
        <v>67</v>
      </c>
    </row>
    <row r="26" spans="1:27" s="239" customFormat="1" ht="24.75" customHeight="1" thickBot="1">
      <c r="A26" s="368" t="s">
        <v>40</v>
      </c>
      <c r="B26" s="359" t="s">
        <v>81</v>
      </c>
      <c r="C26" s="383">
        <v>225</v>
      </c>
      <c r="D26" s="427">
        <f t="shared" si="3"/>
        <v>7.5</v>
      </c>
      <c r="E26" s="424">
        <f t="shared" si="0"/>
        <v>225</v>
      </c>
      <c r="F26" s="322">
        <f t="shared" si="4"/>
        <v>225</v>
      </c>
      <c r="G26" s="462">
        <f t="shared" si="1"/>
        <v>150</v>
      </c>
      <c r="H26" s="373"/>
      <c r="I26" s="370"/>
      <c r="J26" s="249">
        <f>30*5</f>
        <v>150</v>
      </c>
      <c r="K26" s="373">
        <v>75</v>
      </c>
      <c r="L26" s="370"/>
      <c r="M26" s="370"/>
      <c r="N26" s="370"/>
      <c r="O26" s="370"/>
      <c r="P26" s="249" t="s">
        <v>67</v>
      </c>
      <c r="Q26" s="380">
        <f>V26+X26+Y26+R26</f>
        <v>0</v>
      </c>
      <c r="R26" s="351">
        <f t="shared" si="5"/>
        <v>0</v>
      </c>
      <c r="S26" s="373"/>
      <c r="T26" s="370"/>
      <c r="U26" s="249"/>
      <c r="V26" s="373"/>
      <c r="W26" s="370"/>
      <c r="X26" s="370"/>
      <c r="Y26" s="370"/>
      <c r="Z26" s="370"/>
      <c r="AA26" s="249"/>
    </row>
    <row r="27" spans="1:27" s="239" customFormat="1" ht="24.75" customHeight="1" thickBot="1">
      <c r="A27" s="336" t="s">
        <v>41</v>
      </c>
      <c r="B27" s="360" t="s">
        <v>217</v>
      </c>
      <c r="C27" s="235">
        <v>180</v>
      </c>
      <c r="D27" s="119">
        <f t="shared" si="3"/>
        <v>6</v>
      </c>
      <c r="E27" s="120">
        <f t="shared" si="0"/>
        <v>180</v>
      </c>
      <c r="F27" s="121">
        <f t="shared" si="4"/>
        <v>0</v>
      </c>
      <c r="G27" s="462">
        <f t="shared" si="1"/>
        <v>0</v>
      </c>
      <c r="H27" s="119"/>
      <c r="I27" s="120"/>
      <c r="J27" s="121"/>
      <c r="K27" s="119"/>
      <c r="L27" s="120"/>
      <c r="M27" s="120"/>
      <c r="N27" s="120"/>
      <c r="O27" s="120"/>
      <c r="P27" s="121"/>
      <c r="Q27" s="380">
        <f>V27+X27+Y27+R27</f>
        <v>180</v>
      </c>
      <c r="R27" s="351">
        <f t="shared" si="5"/>
        <v>120</v>
      </c>
      <c r="S27" s="119"/>
      <c r="T27" s="120"/>
      <c r="U27" s="121">
        <f>4*30</f>
        <v>120</v>
      </c>
      <c r="V27" s="119">
        <f>4*15</f>
        <v>60</v>
      </c>
      <c r="W27" s="120"/>
      <c r="X27" s="120"/>
      <c r="Y27" s="120"/>
      <c r="Z27" s="120"/>
      <c r="AA27" s="121" t="s">
        <v>67</v>
      </c>
    </row>
    <row r="28" spans="1:27" s="239" customFormat="1" ht="24.75" customHeight="1" thickBot="1">
      <c r="A28" s="337" t="s">
        <v>55</v>
      </c>
      <c r="B28" s="361" t="s">
        <v>218</v>
      </c>
      <c r="C28" s="338">
        <v>30</v>
      </c>
      <c r="D28" s="106">
        <f>E28/30</f>
        <v>1</v>
      </c>
      <c r="E28" s="105">
        <f t="shared" si="0"/>
        <v>30</v>
      </c>
      <c r="F28" s="107">
        <f>G28+K28+N28+M28</f>
        <v>0</v>
      </c>
      <c r="G28" s="462">
        <f t="shared" si="1"/>
        <v>0</v>
      </c>
      <c r="H28" s="343"/>
      <c r="I28" s="344"/>
      <c r="J28" s="345"/>
      <c r="K28" s="343"/>
      <c r="L28" s="344"/>
      <c r="M28" s="344"/>
      <c r="N28" s="344"/>
      <c r="O28" s="344"/>
      <c r="P28" s="345"/>
      <c r="Q28" s="380">
        <f>V28+X28+Y28+R28</f>
        <v>30</v>
      </c>
      <c r="R28" s="351">
        <f t="shared" si="5"/>
        <v>30</v>
      </c>
      <c r="S28" s="343"/>
      <c r="T28" s="355"/>
      <c r="U28" s="487">
        <v>30</v>
      </c>
      <c r="V28" s="357"/>
      <c r="W28" s="344"/>
      <c r="X28" s="344"/>
      <c r="Y28" s="344"/>
      <c r="Z28" s="105"/>
      <c r="AA28" s="345"/>
    </row>
    <row r="29" spans="1:27" ht="24.75" customHeight="1" thickBot="1">
      <c r="A29" s="28"/>
      <c r="B29" s="241" t="s">
        <v>42</v>
      </c>
      <c r="C29" s="33">
        <f>SUM(C14:C28)</f>
        <v>1935</v>
      </c>
      <c r="D29" s="38">
        <f>SUM(D14:D28)</f>
        <v>57.5</v>
      </c>
      <c r="E29" s="31">
        <f>SUM(E14:E28)</f>
        <v>1725</v>
      </c>
      <c r="F29" s="32">
        <f>SUM(F14:F28)</f>
        <v>915</v>
      </c>
      <c r="G29" s="33">
        <f>SUM(G14:G25)</f>
        <v>330</v>
      </c>
      <c r="H29" s="30">
        <f>SUM(H14:H28)</f>
        <v>106</v>
      </c>
      <c r="I29" s="31">
        <f>SUM(I14:I28)</f>
        <v>0</v>
      </c>
      <c r="J29" s="142">
        <f>SUM(J14:J28)</f>
        <v>374</v>
      </c>
      <c r="K29" s="30">
        <f>SUM(K14:K28)</f>
        <v>435</v>
      </c>
      <c r="L29" s="31">
        <v>2</v>
      </c>
      <c r="M29" s="31">
        <f>SUM(M14:M28)</f>
        <v>0</v>
      </c>
      <c r="N29" s="31">
        <f>SUM(N14:N28)</f>
        <v>0</v>
      </c>
      <c r="O29" s="31">
        <v>3</v>
      </c>
      <c r="P29" s="142">
        <v>3</v>
      </c>
      <c r="Q29" s="33">
        <f>SUM(Q14:Q28)</f>
        <v>810</v>
      </c>
      <c r="R29" s="37">
        <f>SUM(R14:R25)</f>
        <v>320</v>
      </c>
      <c r="S29" s="30">
        <f>SUM(S14:S28)</f>
        <v>176</v>
      </c>
      <c r="T29" s="31">
        <f>SUM(T14:T28)</f>
        <v>0</v>
      </c>
      <c r="U29" s="142">
        <f>SUM(U14:U28)</f>
        <v>294</v>
      </c>
      <c r="V29" s="30">
        <f>SUM(V14:V28)</f>
        <v>340</v>
      </c>
      <c r="W29" s="31">
        <v>0</v>
      </c>
      <c r="X29" s="31">
        <v>0</v>
      </c>
      <c r="Y29" s="31">
        <v>0</v>
      </c>
      <c r="Z29" s="31">
        <v>2</v>
      </c>
      <c r="AA29" s="142">
        <v>4</v>
      </c>
    </row>
    <row r="30" spans="1:27" ht="24.75" customHeight="1" thickBot="1">
      <c r="A30" s="589"/>
      <c r="B30" s="384" t="s">
        <v>43</v>
      </c>
      <c r="C30" s="46"/>
      <c r="D30" s="387"/>
      <c r="E30" s="47"/>
      <c r="F30" s="388"/>
      <c r="G30" s="389">
        <f>G29/J10</f>
        <v>30</v>
      </c>
      <c r="H30" s="46"/>
      <c r="I30" s="47"/>
      <c r="J30" s="47"/>
      <c r="K30" s="47"/>
      <c r="L30" s="47"/>
      <c r="M30" s="47"/>
      <c r="N30" s="47"/>
      <c r="O30" s="48"/>
      <c r="P30" s="49"/>
      <c r="Q30" s="388"/>
      <c r="R30" s="390">
        <f>SUM(R14:R25)/U10</f>
        <v>29.09090909090909</v>
      </c>
      <c r="S30" s="391"/>
      <c r="T30" s="47"/>
      <c r="U30" s="47"/>
      <c r="V30" s="47"/>
      <c r="W30" s="47"/>
      <c r="X30" s="47"/>
      <c r="Y30" s="47"/>
      <c r="Z30" s="48"/>
      <c r="AA30" s="49"/>
    </row>
    <row r="31" spans="1:27" ht="24.75" customHeight="1" thickBot="1">
      <c r="A31" s="590"/>
      <c r="B31" s="385" t="s">
        <v>44</v>
      </c>
      <c r="C31" s="57"/>
      <c r="D31" s="54"/>
      <c r="E31" s="43"/>
      <c r="F31" s="55"/>
      <c r="G31" s="56"/>
      <c r="H31" s="57"/>
      <c r="I31" s="43"/>
      <c r="J31" s="43"/>
      <c r="K31" s="43"/>
      <c r="L31" s="43"/>
      <c r="M31" s="43"/>
      <c r="N31" s="58"/>
      <c r="O31" s="39">
        <v>3</v>
      </c>
      <c r="P31" s="59"/>
      <c r="Q31" s="60"/>
      <c r="R31" s="61"/>
      <c r="S31" s="62"/>
      <c r="T31" s="62"/>
      <c r="U31" s="62"/>
      <c r="V31" s="62"/>
      <c r="W31" s="62"/>
      <c r="X31" s="62"/>
      <c r="Y31" s="58"/>
      <c r="Z31" s="39">
        <v>2</v>
      </c>
      <c r="AA31" s="144"/>
    </row>
    <row r="32" spans="1:27" ht="24.75" customHeight="1" thickBot="1">
      <c r="A32" s="590"/>
      <c r="B32" s="385" t="s">
        <v>45</v>
      </c>
      <c r="C32" s="57"/>
      <c r="D32" s="54"/>
      <c r="E32" s="43"/>
      <c r="F32" s="55"/>
      <c r="G32" s="58"/>
      <c r="H32" s="57"/>
      <c r="I32" s="43"/>
      <c r="J32" s="43"/>
      <c r="K32" s="43"/>
      <c r="L32" s="63"/>
      <c r="M32" s="43"/>
      <c r="N32" s="62"/>
      <c r="O32" s="56"/>
      <c r="P32" s="39">
        <v>4</v>
      </c>
      <c r="Q32" s="60"/>
      <c r="R32" s="62"/>
      <c r="S32" s="62"/>
      <c r="T32" s="62"/>
      <c r="U32" s="62"/>
      <c r="V32" s="62"/>
      <c r="W32" s="64"/>
      <c r="X32" s="62"/>
      <c r="Y32" s="62"/>
      <c r="Z32" s="56"/>
      <c r="AA32" s="39">
        <v>5</v>
      </c>
    </row>
    <row r="33" spans="1:27" ht="24.75" customHeight="1" thickBot="1">
      <c r="A33" s="590"/>
      <c r="B33" s="386" t="s">
        <v>46</v>
      </c>
      <c r="C33" s="68"/>
      <c r="D33" s="70"/>
      <c r="E33" s="69"/>
      <c r="F33" s="71"/>
      <c r="G33" s="70"/>
      <c r="H33" s="68"/>
      <c r="I33" s="69"/>
      <c r="J33" s="69"/>
      <c r="K33" s="70"/>
      <c r="L33" s="39">
        <v>2</v>
      </c>
      <c r="M33" s="71"/>
      <c r="N33" s="72"/>
      <c r="O33" s="72"/>
      <c r="P33" s="73"/>
      <c r="Q33" s="392"/>
      <c r="R33" s="72"/>
      <c r="S33" s="72"/>
      <c r="T33" s="72"/>
      <c r="U33" s="72"/>
      <c r="V33" s="393"/>
      <c r="W33" s="39">
        <v>0</v>
      </c>
      <c r="X33" s="71"/>
      <c r="Y33" s="69"/>
      <c r="Z33" s="72"/>
      <c r="AA33" s="73"/>
    </row>
    <row r="34" spans="1:27" ht="24.75" customHeight="1" thickBot="1">
      <c r="A34" s="591"/>
      <c r="B34" s="137" t="s">
        <v>47</v>
      </c>
      <c r="C34" s="77">
        <f>SUM(C30:C33)</f>
        <v>0</v>
      </c>
      <c r="D34" s="77">
        <f aca="true" t="shared" si="6" ref="D34:AA34">SUM(D30:D33)</f>
        <v>0</v>
      </c>
      <c r="E34" s="77">
        <f t="shared" si="6"/>
        <v>0</v>
      </c>
      <c r="F34" s="77">
        <f t="shared" si="6"/>
        <v>0</v>
      </c>
      <c r="G34" s="78">
        <f>SUM(G30:G33)</f>
        <v>30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2">
        <f t="shared" si="6"/>
        <v>0</v>
      </c>
      <c r="L34" s="39">
        <f t="shared" si="6"/>
        <v>2</v>
      </c>
      <c r="M34" s="38">
        <f t="shared" si="6"/>
        <v>0</v>
      </c>
      <c r="N34" s="31">
        <f t="shared" si="6"/>
        <v>0</v>
      </c>
      <c r="O34" s="31">
        <f t="shared" si="6"/>
        <v>3</v>
      </c>
      <c r="P34" s="31">
        <f t="shared" si="6"/>
        <v>4</v>
      </c>
      <c r="Q34" s="77">
        <f t="shared" si="6"/>
        <v>0</v>
      </c>
      <c r="R34" s="78">
        <f t="shared" si="6"/>
        <v>29.09090909090909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9">
        <f t="shared" si="6"/>
        <v>0</v>
      </c>
      <c r="W34" s="39">
        <f t="shared" si="6"/>
        <v>0</v>
      </c>
      <c r="X34" s="243">
        <f t="shared" si="6"/>
        <v>0</v>
      </c>
      <c r="Y34" s="77">
        <f t="shared" si="6"/>
        <v>0</v>
      </c>
      <c r="Z34" s="77">
        <f>SUM(Z30:Z33)</f>
        <v>2</v>
      </c>
      <c r="AA34" s="146">
        <f t="shared" si="6"/>
        <v>5</v>
      </c>
    </row>
    <row r="35" spans="1:27" ht="24.75" customHeight="1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6.25">
      <c r="A38" s="1"/>
      <c r="B38" s="82" t="s">
        <v>60</v>
      </c>
      <c r="C38" s="82"/>
      <c r="D38" s="82"/>
      <c r="E38" s="82"/>
      <c r="F38" s="82"/>
      <c r="G38" s="82"/>
      <c r="H38" s="82"/>
      <c r="I38" s="82"/>
      <c r="J38" s="82"/>
      <c r="K38" s="82" t="s">
        <v>59</v>
      </c>
      <c r="L38" s="82"/>
      <c r="M38" s="82"/>
      <c r="N38" s="82"/>
      <c r="O38" s="82"/>
      <c r="P38" s="82"/>
      <c r="Q38" s="82"/>
      <c r="R38" s="83"/>
      <c r="S38" s="83"/>
      <c r="T38" s="84"/>
      <c r="U38" s="85"/>
      <c r="V38" s="85"/>
      <c r="W38" s="85"/>
      <c r="X38" s="85"/>
      <c r="Y38" s="86"/>
      <c r="Z38" s="86"/>
      <c r="AA38" s="86"/>
    </row>
    <row r="39" spans="1:27" ht="26.25">
      <c r="A39" s="87"/>
      <c r="B39" s="592"/>
      <c r="C39" s="592"/>
      <c r="D39" s="592"/>
      <c r="E39" s="592"/>
      <c r="F39" s="592"/>
      <c r="G39" s="592"/>
      <c r="H39" s="592"/>
      <c r="I39" s="592"/>
      <c r="J39" s="592"/>
      <c r="K39" s="87"/>
      <c r="L39" s="87"/>
      <c r="M39" s="87"/>
      <c r="N39" s="87"/>
      <c r="O39" s="87"/>
      <c r="P39" s="87"/>
      <c r="Q39" s="87"/>
      <c r="R39" s="87" t="s">
        <v>48</v>
      </c>
      <c r="S39" s="89"/>
      <c r="T39" s="90" t="s">
        <v>49</v>
      </c>
      <c r="U39" s="91" t="s">
        <v>50</v>
      </c>
      <c r="V39" s="91"/>
      <c r="W39" s="91"/>
      <c r="X39" s="90"/>
      <c r="Y39" s="90"/>
      <c r="Z39" s="92"/>
      <c r="AA39" s="92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/>
      <c r="L40" s="82"/>
      <c r="M40" s="82"/>
      <c r="N40" s="82"/>
      <c r="O40" s="82"/>
      <c r="P40" s="82"/>
      <c r="Q40" s="82"/>
      <c r="R40" s="82"/>
      <c r="S40" s="82"/>
      <c r="T40" s="84"/>
      <c r="U40" s="84"/>
      <c r="V40" s="84"/>
      <c r="W40" s="84"/>
      <c r="X40" s="93"/>
      <c r="Y40" s="93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 t="s">
        <v>51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52</v>
      </c>
      <c r="U42" s="91" t="s">
        <v>50</v>
      </c>
      <c r="V42" s="91"/>
      <c r="W42" s="91"/>
      <c r="X42" s="90"/>
      <c r="Y42" s="90"/>
      <c r="Z42" s="94"/>
      <c r="AA42" s="94"/>
    </row>
  </sheetData>
  <sheetProtection/>
  <mergeCells count="42">
    <mergeCell ref="A30:A34"/>
    <mergeCell ref="B39:J39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BC41"/>
  <sheetViews>
    <sheetView zoomScale="55" zoomScaleNormal="55" zoomScalePageLayoutView="0" workbookViewId="0" topLeftCell="A1">
      <selection activeCell="AA41" sqref="A1:AA41"/>
    </sheetView>
  </sheetViews>
  <sheetFormatPr defaultColWidth="9.140625" defaultRowHeight="15"/>
  <cols>
    <col min="2" max="2" width="82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  <col min="28" max="55" width="9.140625" style="239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316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323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64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5" t="s">
        <v>7</v>
      </c>
      <c r="B10" s="568" t="s">
        <v>8</v>
      </c>
      <c r="C10" s="565" t="s">
        <v>9</v>
      </c>
      <c r="D10" s="566" t="s">
        <v>10</v>
      </c>
      <c r="E10" s="594" t="s">
        <v>11</v>
      </c>
      <c r="F10" s="596" t="s">
        <v>128</v>
      </c>
      <c r="G10" s="597"/>
      <c r="H10" s="597"/>
      <c r="I10" s="597"/>
      <c r="J10" s="262">
        <v>11</v>
      </c>
      <c r="K10" s="597" t="s">
        <v>12</v>
      </c>
      <c r="L10" s="597"/>
      <c r="M10" s="597"/>
      <c r="N10" s="597"/>
      <c r="O10" s="597"/>
      <c r="P10" s="598"/>
      <c r="Q10" s="572" t="s">
        <v>129</v>
      </c>
      <c r="R10" s="573"/>
      <c r="S10" s="573"/>
      <c r="T10" s="574"/>
      <c r="U10" s="140">
        <v>11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601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600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5"/>
      <c r="B13" s="568"/>
      <c r="C13" s="565"/>
      <c r="D13" s="564"/>
      <c r="E13" s="595"/>
      <c r="F13" s="606"/>
      <c r="G13" s="599"/>
      <c r="H13" s="263" t="s">
        <v>25</v>
      </c>
      <c r="I13" s="264" t="s">
        <v>26</v>
      </c>
      <c r="J13" s="265" t="s">
        <v>27</v>
      </c>
      <c r="K13" s="602"/>
      <c r="L13" s="603"/>
      <c r="M13" s="603"/>
      <c r="N13" s="603"/>
      <c r="O13" s="604"/>
      <c r="P13" s="605"/>
      <c r="Q13" s="564"/>
      <c r="R13" s="599"/>
      <c r="S13" s="263" t="s">
        <v>25</v>
      </c>
      <c r="T13" s="264" t="s">
        <v>26</v>
      </c>
      <c r="U13" s="510" t="s">
        <v>27</v>
      </c>
      <c r="V13" s="602"/>
      <c r="W13" s="603"/>
      <c r="X13" s="603"/>
      <c r="Y13" s="603"/>
      <c r="Z13" s="604"/>
      <c r="AA13" s="605"/>
    </row>
    <row r="14" spans="1:27" s="239" customFormat="1" ht="24.75" customHeight="1">
      <c r="A14" s="368" t="s">
        <v>28</v>
      </c>
      <c r="B14" s="414" t="s">
        <v>324</v>
      </c>
      <c r="C14" s="534">
        <v>105</v>
      </c>
      <c r="D14" s="502">
        <f>E14/30</f>
        <v>3.5</v>
      </c>
      <c r="E14" s="370">
        <f aca="true" t="shared" si="0" ref="E14:E27">F14+Q14</f>
        <v>105</v>
      </c>
      <c r="F14" s="371">
        <f>G14+K14+N14+M14</f>
        <v>0</v>
      </c>
      <c r="G14" s="503">
        <f aca="true" t="shared" si="1" ref="G14:G27">H14+I14+J14</f>
        <v>0</v>
      </c>
      <c r="H14" s="373"/>
      <c r="I14" s="370"/>
      <c r="J14" s="249"/>
      <c r="K14" s="373"/>
      <c r="L14" s="370"/>
      <c r="M14" s="370"/>
      <c r="N14" s="370"/>
      <c r="O14" s="370"/>
      <c r="P14" s="249"/>
      <c r="Q14" s="504">
        <f aca="true" t="shared" si="2" ref="Q14:Q22">V14+X14+Y14+R14</f>
        <v>105</v>
      </c>
      <c r="R14" s="505">
        <v>44</v>
      </c>
      <c r="S14" s="373">
        <v>24</v>
      </c>
      <c r="T14" s="370"/>
      <c r="U14" s="249">
        <v>20</v>
      </c>
      <c r="V14" s="373">
        <v>61</v>
      </c>
      <c r="W14" s="370"/>
      <c r="X14" s="370"/>
      <c r="Y14" s="370"/>
      <c r="Z14" s="370" t="s">
        <v>70</v>
      </c>
      <c r="AA14" s="249"/>
    </row>
    <row r="15" spans="1:27" s="239" customFormat="1" ht="24.75" customHeight="1">
      <c r="A15" s="336" t="s">
        <v>29</v>
      </c>
      <c r="B15" s="323" t="s">
        <v>358</v>
      </c>
      <c r="C15" s="235">
        <v>150</v>
      </c>
      <c r="D15" s="498">
        <f aca="true" t="shared" si="3" ref="D15:D26">E15/30</f>
        <v>5</v>
      </c>
      <c r="E15" s="120">
        <f t="shared" si="0"/>
        <v>150</v>
      </c>
      <c r="F15" s="21">
        <f aca="true" t="shared" si="4" ref="F15:F26">G15+K15+N15+M15</f>
        <v>150</v>
      </c>
      <c r="G15" s="503">
        <f t="shared" si="1"/>
        <v>56</v>
      </c>
      <c r="H15" s="119">
        <v>36</v>
      </c>
      <c r="I15" s="120"/>
      <c r="J15" s="121">
        <v>20</v>
      </c>
      <c r="K15" s="119">
        <v>94</v>
      </c>
      <c r="L15" s="120" t="s">
        <v>125</v>
      </c>
      <c r="M15" s="120"/>
      <c r="N15" s="120"/>
      <c r="O15" s="120" t="s">
        <v>70</v>
      </c>
      <c r="P15" s="121"/>
      <c r="Q15" s="500">
        <f t="shared" si="2"/>
        <v>0</v>
      </c>
      <c r="R15" s="251">
        <f aca="true" t="shared" si="5" ref="R15:R27">S15+T15+U15</f>
        <v>0</v>
      </c>
      <c r="S15" s="119"/>
      <c r="T15" s="120"/>
      <c r="U15" s="121"/>
      <c r="V15" s="119"/>
      <c r="W15" s="120"/>
      <c r="X15" s="120"/>
      <c r="Y15" s="120"/>
      <c r="Z15" s="120"/>
      <c r="AA15" s="121"/>
    </row>
    <row r="16" spans="1:27" s="239" customFormat="1" ht="24.75" customHeight="1">
      <c r="A16" s="336" t="s">
        <v>30</v>
      </c>
      <c r="B16" s="323" t="s">
        <v>325</v>
      </c>
      <c r="C16" s="235">
        <v>120</v>
      </c>
      <c r="D16" s="498">
        <f t="shared" si="3"/>
        <v>4</v>
      </c>
      <c r="E16" s="120">
        <f t="shared" si="0"/>
        <v>120</v>
      </c>
      <c r="F16" s="21">
        <f t="shared" si="4"/>
        <v>120</v>
      </c>
      <c r="G16" s="503">
        <f t="shared" si="1"/>
        <v>66</v>
      </c>
      <c r="H16" s="119">
        <v>14</v>
      </c>
      <c r="I16" s="120"/>
      <c r="J16" s="121">
        <v>52</v>
      </c>
      <c r="K16" s="119">
        <v>54</v>
      </c>
      <c r="L16" s="120"/>
      <c r="M16" s="120"/>
      <c r="N16" s="120"/>
      <c r="O16" s="120" t="s">
        <v>70</v>
      </c>
      <c r="P16" s="121"/>
      <c r="Q16" s="500">
        <f t="shared" si="2"/>
        <v>0</v>
      </c>
      <c r="R16" s="251">
        <f t="shared" si="5"/>
        <v>0</v>
      </c>
      <c r="S16" s="119"/>
      <c r="T16" s="120"/>
      <c r="U16" s="121"/>
      <c r="V16" s="119"/>
      <c r="W16" s="120"/>
      <c r="X16" s="120"/>
      <c r="Y16" s="120"/>
      <c r="Z16" s="120"/>
      <c r="AA16" s="121"/>
    </row>
    <row r="17" spans="1:27" s="239" customFormat="1" ht="25.5" customHeight="1">
      <c r="A17" s="336" t="s">
        <v>31</v>
      </c>
      <c r="B17" s="323" t="s">
        <v>326</v>
      </c>
      <c r="C17" s="235">
        <v>60</v>
      </c>
      <c r="D17" s="498">
        <f t="shared" si="3"/>
        <v>2</v>
      </c>
      <c r="E17" s="120">
        <f t="shared" si="0"/>
        <v>60</v>
      </c>
      <c r="F17" s="21">
        <f t="shared" si="4"/>
        <v>60</v>
      </c>
      <c r="G17" s="499">
        <f t="shared" si="1"/>
        <v>22</v>
      </c>
      <c r="H17" s="119">
        <v>12</v>
      </c>
      <c r="I17" s="120"/>
      <c r="J17" s="121">
        <v>10</v>
      </c>
      <c r="K17" s="119">
        <v>38</v>
      </c>
      <c r="L17" s="120"/>
      <c r="M17" s="120"/>
      <c r="N17" s="120"/>
      <c r="O17" s="120"/>
      <c r="P17" s="121" t="s">
        <v>67</v>
      </c>
      <c r="Q17" s="500">
        <f t="shared" si="2"/>
        <v>0</v>
      </c>
      <c r="R17" s="251">
        <f t="shared" si="5"/>
        <v>0</v>
      </c>
      <c r="S17" s="119"/>
      <c r="T17" s="120"/>
      <c r="U17" s="121"/>
      <c r="V17" s="119"/>
      <c r="W17" s="120"/>
      <c r="X17" s="120"/>
      <c r="Y17" s="120"/>
      <c r="Z17" s="120"/>
      <c r="AA17" s="121"/>
    </row>
    <row r="18" spans="1:27" s="239" customFormat="1" ht="24.75" customHeight="1">
      <c r="A18" s="336" t="s">
        <v>32</v>
      </c>
      <c r="B18" s="323" t="s">
        <v>359</v>
      </c>
      <c r="C18" s="235">
        <v>180</v>
      </c>
      <c r="D18" s="498">
        <f t="shared" si="3"/>
        <v>6</v>
      </c>
      <c r="E18" s="120">
        <f t="shared" si="0"/>
        <v>180</v>
      </c>
      <c r="F18" s="21">
        <f t="shared" si="4"/>
        <v>90</v>
      </c>
      <c r="G18" s="499">
        <f t="shared" si="1"/>
        <v>44</v>
      </c>
      <c r="H18" s="119">
        <v>10</v>
      </c>
      <c r="I18" s="120"/>
      <c r="J18" s="121">
        <v>34</v>
      </c>
      <c r="K18" s="119">
        <v>46</v>
      </c>
      <c r="L18" s="120"/>
      <c r="M18" s="120"/>
      <c r="N18" s="120"/>
      <c r="O18" s="120" t="s">
        <v>70</v>
      </c>
      <c r="P18" s="121"/>
      <c r="Q18" s="500">
        <f t="shared" si="2"/>
        <v>90</v>
      </c>
      <c r="R18" s="251">
        <f t="shared" si="5"/>
        <v>44</v>
      </c>
      <c r="S18" s="119">
        <v>10</v>
      </c>
      <c r="T18" s="120"/>
      <c r="U18" s="121">
        <v>34</v>
      </c>
      <c r="V18" s="119">
        <v>46</v>
      </c>
      <c r="W18" s="120"/>
      <c r="X18" s="120"/>
      <c r="Y18" s="120"/>
      <c r="Z18" s="120"/>
      <c r="AA18" s="121" t="s">
        <v>67</v>
      </c>
    </row>
    <row r="19" spans="1:27" s="239" customFormat="1" ht="20.25">
      <c r="A19" s="336" t="s">
        <v>33</v>
      </c>
      <c r="B19" s="323" t="s">
        <v>352</v>
      </c>
      <c r="C19" s="235">
        <v>120</v>
      </c>
      <c r="D19" s="498">
        <f t="shared" si="3"/>
        <v>4</v>
      </c>
      <c r="E19" s="120">
        <f t="shared" si="0"/>
        <v>120</v>
      </c>
      <c r="F19" s="21">
        <f t="shared" si="4"/>
        <v>120</v>
      </c>
      <c r="G19" s="499">
        <f t="shared" si="1"/>
        <v>66</v>
      </c>
      <c r="H19" s="119"/>
      <c r="I19" s="120"/>
      <c r="J19" s="121">
        <v>66</v>
      </c>
      <c r="K19" s="119">
        <v>54</v>
      </c>
      <c r="L19" s="120"/>
      <c r="M19" s="120"/>
      <c r="N19" s="120"/>
      <c r="O19" s="120" t="s">
        <v>70</v>
      </c>
      <c r="P19" s="121"/>
      <c r="Q19" s="500">
        <f t="shared" si="2"/>
        <v>0</v>
      </c>
      <c r="R19" s="251">
        <f t="shared" si="5"/>
        <v>0</v>
      </c>
      <c r="S19" s="119"/>
      <c r="T19" s="120"/>
      <c r="U19" s="121"/>
      <c r="V19" s="119"/>
      <c r="W19" s="120"/>
      <c r="X19" s="120"/>
      <c r="Y19" s="120"/>
      <c r="Z19" s="120"/>
      <c r="AA19" s="121"/>
    </row>
    <row r="20" spans="1:27" s="239" customFormat="1" ht="24.75" customHeight="1">
      <c r="A20" s="535" t="s">
        <v>34</v>
      </c>
      <c r="B20" s="445" t="s">
        <v>353</v>
      </c>
      <c r="C20" s="536">
        <v>90</v>
      </c>
      <c r="D20" s="498">
        <f t="shared" si="3"/>
        <v>3</v>
      </c>
      <c r="E20" s="120">
        <f t="shared" si="0"/>
        <v>90</v>
      </c>
      <c r="F20" s="21">
        <f t="shared" si="4"/>
        <v>0</v>
      </c>
      <c r="G20" s="499">
        <f t="shared" si="1"/>
        <v>0</v>
      </c>
      <c r="H20" s="537"/>
      <c r="I20" s="23"/>
      <c r="J20" s="276"/>
      <c r="K20" s="273"/>
      <c r="L20" s="23"/>
      <c r="M20" s="23"/>
      <c r="N20" s="23"/>
      <c r="O20" s="23"/>
      <c r="P20" s="276"/>
      <c r="Q20" s="500">
        <f t="shared" si="2"/>
        <v>90</v>
      </c>
      <c r="R20" s="251">
        <f t="shared" si="5"/>
        <v>44</v>
      </c>
      <c r="S20" s="538">
        <v>28</v>
      </c>
      <c r="T20" s="23"/>
      <c r="U20" s="276">
        <v>16</v>
      </c>
      <c r="V20" s="273">
        <v>46</v>
      </c>
      <c r="W20" s="23"/>
      <c r="X20" s="23"/>
      <c r="Y20" s="23"/>
      <c r="Z20" s="23"/>
      <c r="AA20" s="276" t="s">
        <v>67</v>
      </c>
    </row>
    <row r="21" spans="1:27" s="239" customFormat="1" ht="24.75" customHeight="1">
      <c r="A21" s="535" t="s">
        <v>35</v>
      </c>
      <c r="B21" s="445" t="s">
        <v>360</v>
      </c>
      <c r="C21" s="536">
        <v>105</v>
      </c>
      <c r="D21" s="498">
        <f t="shared" si="3"/>
        <v>3.5</v>
      </c>
      <c r="E21" s="120">
        <f t="shared" si="0"/>
        <v>105</v>
      </c>
      <c r="F21" s="21">
        <f t="shared" si="4"/>
        <v>0</v>
      </c>
      <c r="G21" s="499">
        <f t="shared" si="1"/>
        <v>0</v>
      </c>
      <c r="H21" s="537"/>
      <c r="I21" s="23"/>
      <c r="J21" s="276"/>
      <c r="K21" s="273"/>
      <c r="L21" s="23"/>
      <c r="M21" s="23"/>
      <c r="N21" s="23"/>
      <c r="O21" s="23"/>
      <c r="P21" s="276"/>
      <c r="Q21" s="539">
        <f t="shared" si="2"/>
        <v>105</v>
      </c>
      <c r="R21" s="540">
        <f t="shared" si="5"/>
        <v>56</v>
      </c>
      <c r="S21" s="538">
        <v>36</v>
      </c>
      <c r="T21" s="23"/>
      <c r="U21" s="276">
        <v>20</v>
      </c>
      <c r="V21" s="273">
        <v>49</v>
      </c>
      <c r="W21" s="23"/>
      <c r="X21" s="23"/>
      <c r="Y21" s="23"/>
      <c r="Z21" s="23"/>
      <c r="AA21" s="276" t="s">
        <v>67</v>
      </c>
    </row>
    <row r="22" spans="1:27" s="239" customFormat="1" ht="24.75" customHeight="1" thickBot="1">
      <c r="A22" s="535" t="s">
        <v>36</v>
      </c>
      <c r="B22" s="445" t="s">
        <v>361</v>
      </c>
      <c r="C22" s="536">
        <v>135</v>
      </c>
      <c r="D22" s="541">
        <f t="shared" si="3"/>
        <v>4.5</v>
      </c>
      <c r="E22" s="23">
        <f t="shared" si="0"/>
        <v>135</v>
      </c>
      <c r="F22" s="24">
        <f t="shared" si="4"/>
        <v>0</v>
      </c>
      <c r="G22" s="405">
        <f t="shared" si="1"/>
        <v>0</v>
      </c>
      <c r="H22" s="537"/>
      <c r="I22" s="23"/>
      <c r="J22" s="276"/>
      <c r="K22" s="273"/>
      <c r="L22" s="23"/>
      <c r="M22" s="23"/>
      <c r="N22" s="23"/>
      <c r="O22" s="23"/>
      <c r="P22" s="276"/>
      <c r="Q22" s="539">
        <f t="shared" si="2"/>
        <v>135</v>
      </c>
      <c r="R22" s="540">
        <f t="shared" si="5"/>
        <v>88</v>
      </c>
      <c r="S22" s="538">
        <v>40</v>
      </c>
      <c r="T22" s="23"/>
      <c r="U22" s="276">
        <v>48</v>
      </c>
      <c r="V22" s="273">
        <v>47</v>
      </c>
      <c r="W22" s="23"/>
      <c r="X22" s="23"/>
      <c r="Y22" s="23"/>
      <c r="Z22" s="23" t="s">
        <v>70</v>
      </c>
      <c r="AA22" s="276"/>
    </row>
    <row r="23" spans="1:55" s="511" customFormat="1" ht="24.75" customHeight="1" thickBot="1">
      <c r="A23" s="525" t="s">
        <v>37</v>
      </c>
      <c r="B23" s="526" t="s">
        <v>356</v>
      </c>
      <c r="C23" s="527">
        <v>150</v>
      </c>
      <c r="D23" s="532">
        <f t="shared" si="3"/>
        <v>5</v>
      </c>
      <c r="E23" s="518">
        <f t="shared" si="0"/>
        <v>150</v>
      </c>
      <c r="F23" s="533">
        <f t="shared" si="4"/>
        <v>150</v>
      </c>
      <c r="G23" s="516">
        <f t="shared" si="1"/>
        <v>66</v>
      </c>
      <c r="H23" s="528">
        <v>36</v>
      </c>
      <c r="I23" s="515"/>
      <c r="J23" s="529">
        <v>30</v>
      </c>
      <c r="K23" s="530">
        <v>84</v>
      </c>
      <c r="L23" s="515"/>
      <c r="M23" s="515"/>
      <c r="N23" s="515"/>
      <c r="O23" s="515"/>
      <c r="P23" s="529" t="s">
        <v>67</v>
      </c>
      <c r="Q23" s="520">
        <f>V23+W23+X23+Y23+R23</f>
        <v>0</v>
      </c>
      <c r="R23" s="521">
        <f t="shared" si="5"/>
        <v>0</v>
      </c>
      <c r="S23" s="531"/>
      <c r="T23" s="515"/>
      <c r="U23" s="529"/>
      <c r="V23" s="530"/>
      <c r="W23" s="515"/>
      <c r="X23" s="515"/>
      <c r="Y23" s="515"/>
      <c r="Z23" s="515"/>
      <c r="AA23" s="52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</row>
    <row r="24" spans="1:27" ht="24.75" customHeight="1" thickBot="1">
      <c r="A24" s="512" t="s">
        <v>38</v>
      </c>
      <c r="B24" s="513" t="s">
        <v>362</v>
      </c>
      <c r="C24" s="514">
        <v>150</v>
      </c>
      <c r="D24" s="532">
        <f t="shared" si="3"/>
        <v>5</v>
      </c>
      <c r="E24" s="518">
        <f t="shared" si="0"/>
        <v>150</v>
      </c>
      <c r="F24" s="533">
        <f t="shared" si="4"/>
        <v>0</v>
      </c>
      <c r="G24" s="516">
        <f t="shared" si="1"/>
        <v>0</v>
      </c>
      <c r="H24" s="517"/>
      <c r="I24" s="518"/>
      <c r="J24" s="519"/>
      <c r="K24" s="517"/>
      <c r="L24" s="518"/>
      <c r="M24" s="518"/>
      <c r="N24" s="518"/>
      <c r="O24" s="518"/>
      <c r="P24" s="519"/>
      <c r="Q24" s="520">
        <f>V24+W24+X24+Y24+R24</f>
        <v>150</v>
      </c>
      <c r="R24" s="521">
        <f t="shared" si="5"/>
        <v>44</v>
      </c>
      <c r="S24" s="517">
        <v>24</v>
      </c>
      <c r="T24" s="522"/>
      <c r="U24" s="523">
        <v>20</v>
      </c>
      <c r="V24" s="524">
        <v>106</v>
      </c>
      <c r="W24" s="518"/>
      <c r="X24" s="518"/>
      <c r="Y24" s="518"/>
      <c r="Z24" s="518"/>
      <c r="AA24" s="519" t="s">
        <v>67</v>
      </c>
    </row>
    <row r="25" spans="1:27" s="239" customFormat="1" ht="24.75" customHeight="1" thickBot="1">
      <c r="A25" s="368" t="s">
        <v>39</v>
      </c>
      <c r="B25" s="324" t="s">
        <v>81</v>
      </c>
      <c r="C25" s="383">
        <v>270</v>
      </c>
      <c r="D25" s="427">
        <f t="shared" si="3"/>
        <v>9</v>
      </c>
      <c r="E25" s="424">
        <f t="shared" si="0"/>
        <v>270</v>
      </c>
      <c r="F25" s="322">
        <f t="shared" si="4"/>
        <v>270</v>
      </c>
      <c r="G25" s="462">
        <f t="shared" si="1"/>
        <v>150</v>
      </c>
      <c r="H25" s="373"/>
      <c r="I25" s="370"/>
      <c r="J25" s="249">
        <f>30*5</f>
        <v>150</v>
      </c>
      <c r="K25" s="373">
        <v>120</v>
      </c>
      <c r="L25" s="370"/>
      <c r="M25" s="370"/>
      <c r="N25" s="370"/>
      <c r="O25" s="370"/>
      <c r="P25" s="249" t="s">
        <v>67</v>
      </c>
      <c r="Q25" s="380">
        <f>V25+X25+Y25+R25</f>
        <v>0</v>
      </c>
      <c r="R25" s="351">
        <f t="shared" si="5"/>
        <v>0</v>
      </c>
      <c r="S25" s="373"/>
      <c r="T25" s="370"/>
      <c r="U25" s="249"/>
      <c r="V25" s="373"/>
      <c r="W25" s="370"/>
      <c r="X25" s="370"/>
      <c r="Y25" s="370"/>
      <c r="Z25" s="370"/>
      <c r="AA25" s="249"/>
    </row>
    <row r="26" spans="1:27" s="239" customFormat="1" ht="24.75" customHeight="1" thickBot="1">
      <c r="A26" s="336" t="s">
        <v>40</v>
      </c>
      <c r="B26" s="360" t="s">
        <v>217</v>
      </c>
      <c r="C26" s="235">
        <v>180</v>
      </c>
      <c r="D26" s="119">
        <f t="shared" si="3"/>
        <v>6</v>
      </c>
      <c r="E26" s="120">
        <f t="shared" si="0"/>
        <v>180</v>
      </c>
      <c r="F26" s="121">
        <f t="shared" si="4"/>
        <v>0</v>
      </c>
      <c r="G26" s="462">
        <f t="shared" si="1"/>
        <v>0</v>
      </c>
      <c r="H26" s="119"/>
      <c r="I26" s="120"/>
      <c r="J26" s="121"/>
      <c r="K26" s="119"/>
      <c r="L26" s="120"/>
      <c r="M26" s="120"/>
      <c r="N26" s="120"/>
      <c r="O26" s="120"/>
      <c r="P26" s="121"/>
      <c r="Q26" s="380">
        <f>V26+X26+Y26+R26</f>
        <v>180</v>
      </c>
      <c r="R26" s="351">
        <f t="shared" si="5"/>
        <v>120</v>
      </c>
      <c r="S26" s="119"/>
      <c r="T26" s="120"/>
      <c r="U26" s="121">
        <f>4*30</f>
        <v>120</v>
      </c>
      <c r="V26" s="119">
        <f>4*15</f>
        <v>60</v>
      </c>
      <c r="W26" s="120"/>
      <c r="X26" s="120"/>
      <c r="Y26" s="120"/>
      <c r="Z26" s="120"/>
      <c r="AA26" s="121" t="s">
        <v>67</v>
      </c>
    </row>
    <row r="27" spans="1:27" s="239" customFormat="1" ht="24.75" customHeight="1" thickBot="1">
      <c r="A27" s="337" t="s">
        <v>41</v>
      </c>
      <c r="B27" s="361" t="s">
        <v>218</v>
      </c>
      <c r="C27" s="338">
        <v>30</v>
      </c>
      <c r="D27" s="106">
        <f>E27/30</f>
        <v>1</v>
      </c>
      <c r="E27" s="105">
        <f t="shared" si="0"/>
        <v>30</v>
      </c>
      <c r="F27" s="107">
        <f>G27+K27+N27+M27</f>
        <v>0</v>
      </c>
      <c r="G27" s="462">
        <f t="shared" si="1"/>
        <v>0</v>
      </c>
      <c r="H27" s="343"/>
      <c r="I27" s="344"/>
      <c r="J27" s="345"/>
      <c r="K27" s="343"/>
      <c r="L27" s="344"/>
      <c r="M27" s="344"/>
      <c r="N27" s="344"/>
      <c r="O27" s="344"/>
      <c r="P27" s="345"/>
      <c r="Q27" s="380">
        <f>V27+X27+Y27+R27</f>
        <v>30</v>
      </c>
      <c r="R27" s="351">
        <f t="shared" si="5"/>
        <v>30</v>
      </c>
      <c r="S27" s="343"/>
      <c r="T27" s="355"/>
      <c r="U27" s="487">
        <v>30</v>
      </c>
      <c r="V27" s="357"/>
      <c r="W27" s="344"/>
      <c r="X27" s="344"/>
      <c r="Y27" s="344"/>
      <c r="Z27" s="105"/>
      <c r="AA27" s="345"/>
    </row>
    <row r="28" spans="1:27" ht="24.75" customHeight="1" thickBot="1">
      <c r="A28" s="28"/>
      <c r="B28" s="241" t="s">
        <v>42</v>
      </c>
      <c r="C28" s="33">
        <f>SUM(C14:C27)</f>
        <v>1845</v>
      </c>
      <c r="D28" s="38">
        <f>SUM(D14:D27)</f>
        <v>61.5</v>
      </c>
      <c r="E28" s="31">
        <f>SUM(E14:E27)</f>
        <v>1845</v>
      </c>
      <c r="F28" s="32">
        <f>SUM(F14:F27)</f>
        <v>960</v>
      </c>
      <c r="G28" s="33">
        <f>SUM(G14:G24)</f>
        <v>320</v>
      </c>
      <c r="H28" s="30">
        <f>SUM(H14:H27)</f>
        <v>108</v>
      </c>
      <c r="I28" s="31">
        <f>SUM(I14:I27)</f>
        <v>0</v>
      </c>
      <c r="J28" s="142">
        <f>SUM(J14:J27)</f>
        <v>362</v>
      </c>
      <c r="K28" s="30">
        <f>SUM(K14:K27)</f>
        <v>490</v>
      </c>
      <c r="L28" s="31">
        <v>1</v>
      </c>
      <c r="M28" s="31">
        <f>SUM(M14:M27)</f>
        <v>0</v>
      </c>
      <c r="N28" s="31">
        <f>SUM(N14:N27)</f>
        <v>0</v>
      </c>
      <c r="O28" s="31">
        <v>4</v>
      </c>
      <c r="P28" s="142">
        <v>2</v>
      </c>
      <c r="Q28" s="33">
        <f>SUM(Q14:Q27)</f>
        <v>885</v>
      </c>
      <c r="R28" s="37">
        <f>SUM(R14:R24)</f>
        <v>320</v>
      </c>
      <c r="S28" s="30">
        <f>SUM(S14:S27)</f>
        <v>162</v>
      </c>
      <c r="T28" s="31">
        <f>SUM(T14:T27)</f>
        <v>0</v>
      </c>
      <c r="U28" s="142">
        <f>SUM(U14:U27)</f>
        <v>308</v>
      </c>
      <c r="V28" s="30">
        <f>SUM(V14:V27)</f>
        <v>415</v>
      </c>
      <c r="W28" s="31">
        <v>0</v>
      </c>
      <c r="X28" s="31">
        <v>0</v>
      </c>
      <c r="Y28" s="31">
        <v>0</v>
      </c>
      <c r="Z28" s="31">
        <v>2</v>
      </c>
      <c r="AA28" s="142">
        <v>4</v>
      </c>
    </row>
    <row r="29" spans="1:27" ht="24.75" customHeight="1" thickBot="1">
      <c r="A29" s="589"/>
      <c r="B29" s="384" t="s">
        <v>43</v>
      </c>
      <c r="C29" s="46"/>
      <c r="D29" s="387"/>
      <c r="E29" s="47"/>
      <c r="F29" s="388"/>
      <c r="G29" s="389">
        <f>G28/J10</f>
        <v>29.09090909090909</v>
      </c>
      <c r="H29" s="46"/>
      <c r="I29" s="47"/>
      <c r="J29" s="47"/>
      <c r="K29" s="47"/>
      <c r="L29" s="47"/>
      <c r="M29" s="47"/>
      <c r="N29" s="47"/>
      <c r="O29" s="48"/>
      <c r="P29" s="49"/>
      <c r="Q29" s="388"/>
      <c r="R29" s="390">
        <f>SUM(R14:R24)/U10</f>
        <v>29.09090909090909</v>
      </c>
      <c r="S29" s="391"/>
      <c r="T29" s="47"/>
      <c r="U29" s="47"/>
      <c r="V29" s="47"/>
      <c r="W29" s="47"/>
      <c r="X29" s="47"/>
      <c r="Y29" s="47"/>
      <c r="Z29" s="48"/>
      <c r="AA29" s="49"/>
    </row>
    <row r="30" spans="1:27" ht="24.75" customHeight="1" thickBot="1">
      <c r="A30" s="590"/>
      <c r="B30" s="385" t="s">
        <v>44</v>
      </c>
      <c r="C30" s="57"/>
      <c r="D30" s="54"/>
      <c r="E30" s="43"/>
      <c r="F30" s="55"/>
      <c r="G30" s="56"/>
      <c r="H30" s="57"/>
      <c r="I30" s="43"/>
      <c r="J30" s="43"/>
      <c r="K30" s="43"/>
      <c r="L30" s="43"/>
      <c r="M30" s="43"/>
      <c r="N30" s="58"/>
      <c r="O30" s="39">
        <v>4</v>
      </c>
      <c r="P30" s="59"/>
      <c r="Q30" s="60"/>
      <c r="R30" s="61"/>
      <c r="S30" s="62"/>
      <c r="T30" s="62"/>
      <c r="U30" s="62"/>
      <c r="V30" s="62"/>
      <c r="W30" s="62"/>
      <c r="X30" s="62"/>
      <c r="Y30" s="58"/>
      <c r="Z30" s="39">
        <v>2</v>
      </c>
      <c r="AA30" s="144"/>
    </row>
    <row r="31" spans="1:27" ht="24.75" customHeight="1" thickBot="1">
      <c r="A31" s="590"/>
      <c r="B31" s="385" t="s">
        <v>45</v>
      </c>
      <c r="C31" s="57"/>
      <c r="D31" s="54"/>
      <c r="E31" s="43"/>
      <c r="F31" s="55"/>
      <c r="G31" s="58"/>
      <c r="H31" s="57"/>
      <c r="I31" s="43"/>
      <c r="J31" s="43"/>
      <c r="K31" s="43"/>
      <c r="L31" s="63"/>
      <c r="M31" s="43"/>
      <c r="N31" s="62"/>
      <c r="O31" s="56"/>
      <c r="P31" s="39">
        <v>3</v>
      </c>
      <c r="Q31" s="60"/>
      <c r="R31" s="62"/>
      <c r="S31" s="62"/>
      <c r="T31" s="62"/>
      <c r="U31" s="62"/>
      <c r="V31" s="62"/>
      <c r="W31" s="64"/>
      <c r="X31" s="62"/>
      <c r="Y31" s="62"/>
      <c r="Z31" s="56"/>
      <c r="AA31" s="39">
        <v>5</v>
      </c>
    </row>
    <row r="32" spans="1:27" ht="24.75" customHeight="1" thickBot="1">
      <c r="A32" s="590"/>
      <c r="B32" s="386" t="s">
        <v>46</v>
      </c>
      <c r="C32" s="68"/>
      <c r="D32" s="70"/>
      <c r="E32" s="69"/>
      <c r="F32" s="71"/>
      <c r="G32" s="70"/>
      <c r="H32" s="68"/>
      <c r="I32" s="69"/>
      <c r="J32" s="69"/>
      <c r="K32" s="70"/>
      <c r="L32" s="39">
        <v>1</v>
      </c>
      <c r="M32" s="71"/>
      <c r="N32" s="72"/>
      <c r="O32" s="72"/>
      <c r="P32" s="73"/>
      <c r="Q32" s="392"/>
      <c r="R32" s="72"/>
      <c r="S32" s="72"/>
      <c r="T32" s="72"/>
      <c r="U32" s="72"/>
      <c r="V32" s="393"/>
      <c r="W32" s="39">
        <v>0</v>
      </c>
      <c r="X32" s="71"/>
      <c r="Y32" s="69"/>
      <c r="Z32" s="72"/>
      <c r="AA32" s="73"/>
    </row>
    <row r="33" spans="1:27" ht="24.75" customHeight="1" thickBot="1">
      <c r="A33" s="591"/>
      <c r="B33" s="137" t="s">
        <v>47</v>
      </c>
      <c r="C33" s="77">
        <f>SUM(C29:C32)</f>
        <v>0</v>
      </c>
      <c r="D33" s="77">
        <f aca="true" t="shared" si="6" ref="D33:AA33">SUM(D29:D32)</f>
        <v>0</v>
      </c>
      <c r="E33" s="77">
        <f t="shared" si="6"/>
        <v>0</v>
      </c>
      <c r="F33" s="77">
        <f t="shared" si="6"/>
        <v>0</v>
      </c>
      <c r="G33" s="78">
        <f>SUM(G29:G32)</f>
        <v>29.09090909090909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2">
        <f t="shared" si="6"/>
        <v>0</v>
      </c>
      <c r="L33" s="39">
        <f t="shared" si="6"/>
        <v>1</v>
      </c>
      <c r="M33" s="38">
        <f t="shared" si="6"/>
        <v>0</v>
      </c>
      <c r="N33" s="31">
        <f t="shared" si="6"/>
        <v>0</v>
      </c>
      <c r="O33" s="31">
        <f t="shared" si="6"/>
        <v>4</v>
      </c>
      <c r="P33" s="31">
        <f t="shared" si="6"/>
        <v>3</v>
      </c>
      <c r="Q33" s="77">
        <f t="shared" si="6"/>
        <v>0</v>
      </c>
      <c r="R33" s="78">
        <f t="shared" si="6"/>
        <v>29.09090909090909</v>
      </c>
      <c r="S33" s="77">
        <f t="shared" si="6"/>
        <v>0</v>
      </c>
      <c r="T33" s="77">
        <f t="shared" si="6"/>
        <v>0</v>
      </c>
      <c r="U33" s="77">
        <f t="shared" si="6"/>
        <v>0</v>
      </c>
      <c r="V33" s="79">
        <f t="shared" si="6"/>
        <v>0</v>
      </c>
      <c r="W33" s="39">
        <f t="shared" si="6"/>
        <v>0</v>
      </c>
      <c r="X33" s="243">
        <f t="shared" si="6"/>
        <v>0</v>
      </c>
      <c r="Y33" s="77">
        <f t="shared" si="6"/>
        <v>0</v>
      </c>
      <c r="Z33" s="77">
        <f>SUM(Z29:Z32)</f>
        <v>2</v>
      </c>
      <c r="AA33" s="146">
        <f t="shared" si="6"/>
        <v>5</v>
      </c>
    </row>
    <row r="34" spans="1:27" ht="24.75" customHeight="1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6.25">
      <c r="A37" s="1"/>
      <c r="B37" s="82" t="s">
        <v>60</v>
      </c>
      <c r="C37" s="82"/>
      <c r="D37" s="82"/>
      <c r="E37" s="82"/>
      <c r="F37" s="82"/>
      <c r="G37" s="82"/>
      <c r="H37" s="82"/>
      <c r="I37" s="82"/>
      <c r="J37" s="82"/>
      <c r="K37" s="82" t="s">
        <v>59</v>
      </c>
      <c r="L37" s="82"/>
      <c r="M37" s="82"/>
      <c r="N37" s="82"/>
      <c r="O37" s="82"/>
      <c r="P37" s="82"/>
      <c r="Q37" s="82"/>
      <c r="R37" s="83"/>
      <c r="S37" s="83"/>
      <c r="T37" s="84"/>
      <c r="U37" s="85"/>
      <c r="V37" s="85"/>
      <c r="W37" s="85"/>
      <c r="X37" s="85"/>
      <c r="Y37" s="86"/>
      <c r="Z37" s="86"/>
      <c r="AA37" s="86"/>
    </row>
    <row r="38" spans="1:27" ht="26.25">
      <c r="A38" s="87"/>
      <c r="B38" s="592"/>
      <c r="C38" s="592"/>
      <c r="D38" s="592"/>
      <c r="E38" s="592"/>
      <c r="F38" s="592"/>
      <c r="G38" s="592"/>
      <c r="H38" s="592"/>
      <c r="I38" s="592"/>
      <c r="J38" s="592"/>
      <c r="K38" s="87"/>
      <c r="L38" s="87"/>
      <c r="M38" s="87"/>
      <c r="N38" s="87"/>
      <c r="O38" s="87"/>
      <c r="P38" s="87"/>
      <c r="Q38" s="87"/>
      <c r="R38" s="87" t="s">
        <v>48</v>
      </c>
      <c r="S38" s="89"/>
      <c r="T38" s="90" t="s">
        <v>49</v>
      </c>
      <c r="U38" s="91" t="s">
        <v>50</v>
      </c>
      <c r="V38" s="91"/>
      <c r="W38" s="91"/>
      <c r="X38" s="90"/>
      <c r="Y38" s="90"/>
      <c r="Z38" s="92"/>
      <c r="AA38" s="92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/>
      <c r="L39" s="82"/>
      <c r="M39" s="82"/>
      <c r="N39" s="82"/>
      <c r="O39" s="82"/>
      <c r="P39" s="82"/>
      <c r="Q39" s="82"/>
      <c r="R39" s="82"/>
      <c r="S39" s="82"/>
      <c r="T39" s="84"/>
      <c r="U39" s="84"/>
      <c r="V39" s="84"/>
      <c r="W39" s="84"/>
      <c r="X39" s="93"/>
      <c r="Y39" s="93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 t="s">
        <v>51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52</v>
      </c>
      <c r="U41" s="91" t="s">
        <v>50</v>
      </c>
      <c r="V41" s="91"/>
      <c r="W41" s="91"/>
      <c r="X41" s="90"/>
      <c r="Y41" s="90"/>
      <c r="Z41" s="94"/>
      <c r="AA41" s="94"/>
    </row>
  </sheetData>
  <sheetProtection/>
  <mergeCells count="42">
    <mergeCell ref="A29:A33"/>
    <mergeCell ref="B38:J38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2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1"/>
  <sheetViews>
    <sheetView zoomScale="70" zoomScaleNormal="70" zoomScalePageLayoutView="0" workbookViewId="0" topLeftCell="A1">
      <selection activeCell="AA41" sqref="A1:AA41"/>
    </sheetView>
  </sheetViews>
  <sheetFormatPr defaultColWidth="9.140625" defaultRowHeight="15"/>
  <cols>
    <col min="2" max="2" width="82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316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363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315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5" t="s">
        <v>7</v>
      </c>
      <c r="B10" s="568" t="s">
        <v>8</v>
      </c>
      <c r="C10" s="565" t="s">
        <v>9</v>
      </c>
      <c r="D10" s="566" t="s">
        <v>10</v>
      </c>
      <c r="E10" s="594" t="s">
        <v>11</v>
      </c>
      <c r="F10" s="596" t="s">
        <v>121</v>
      </c>
      <c r="G10" s="597"/>
      <c r="H10" s="597"/>
      <c r="I10" s="597"/>
      <c r="J10" s="262">
        <v>11</v>
      </c>
      <c r="K10" s="597" t="s">
        <v>12</v>
      </c>
      <c r="L10" s="597"/>
      <c r="M10" s="597"/>
      <c r="N10" s="597"/>
      <c r="O10" s="597"/>
      <c r="P10" s="598"/>
      <c r="Q10" s="572" t="s">
        <v>122</v>
      </c>
      <c r="R10" s="573"/>
      <c r="S10" s="573"/>
      <c r="T10" s="574"/>
      <c r="U10" s="140">
        <v>11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601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600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5"/>
      <c r="B13" s="568"/>
      <c r="C13" s="565"/>
      <c r="D13" s="564"/>
      <c r="E13" s="595"/>
      <c r="F13" s="606"/>
      <c r="G13" s="599"/>
      <c r="H13" s="263" t="s">
        <v>25</v>
      </c>
      <c r="I13" s="264" t="s">
        <v>26</v>
      </c>
      <c r="J13" s="265" t="s">
        <v>27</v>
      </c>
      <c r="K13" s="602"/>
      <c r="L13" s="603"/>
      <c r="M13" s="603"/>
      <c r="N13" s="603"/>
      <c r="O13" s="604"/>
      <c r="P13" s="605"/>
      <c r="Q13" s="564"/>
      <c r="R13" s="599"/>
      <c r="S13" s="263" t="s">
        <v>25</v>
      </c>
      <c r="T13" s="264" t="s">
        <v>26</v>
      </c>
      <c r="U13" s="510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409" t="s">
        <v>28</v>
      </c>
      <c r="B14" s="414" t="s">
        <v>123</v>
      </c>
      <c r="C14" s="244">
        <v>60</v>
      </c>
      <c r="D14" s="415">
        <f aca="true" t="shared" si="0" ref="D14:D26">E14/30</f>
        <v>2</v>
      </c>
      <c r="E14" s="110">
        <f aca="true" t="shared" si="1" ref="E14:E27">F14+Q14</f>
        <v>60</v>
      </c>
      <c r="F14" s="111">
        <f>G14+K14+N14+M14</f>
        <v>0</v>
      </c>
      <c r="G14" s="261">
        <f aca="true" t="shared" si="2" ref="G14:G27">H14+I14+J14</f>
        <v>0</v>
      </c>
      <c r="H14" s="113"/>
      <c r="I14" s="110"/>
      <c r="J14" s="114"/>
      <c r="K14" s="113"/>
      <c r="L14" s="110"/>
      <c r="M14" s="110"/>
      <c r="N14" s="110"/>
      <c r="O14" s="110"/>
      <c r="P14" s="114"/>
      <c r="Q14" s="416">
        <f aca="true" t="shared" si="3" ref="Q14:Q23">V14+X14+Y14+R14</f>
        <v>60</v>
      </c>
      <c r="R14" s="417">
        <f aca="true" t="shared" si="4" ref="R14:R27">S14+T14+U14</f>
        <v>44</v>
      </c>
      <c r="S14" s="113">
        <v>24</v>
      </c>
      <c r="T14" s="110"/>
      <c r="U14" s="114">
        <v>20</v>
      </c>
      <c r="V14" s="10">
        <v>16</v>
      </c>
      <c r="W14" s="7"/>
      <c r="X14" s="7"/>
      <c r="Y14" s="7"/>
      <c r="Z14" s="7"/>
      <c r="AA14" s="11" t="s">
        <v>67</v>
      </c>
    </row>
    <row r="15" spans="1:27" ht="24.75" customHeight="1">
      <c r="A15" s="326" t="s">
        <v>29</v>
      </c>
      <c r="B15" s="323" t="s">
        <v>230</v>
      </c>
      <c r="C15" s="159">
        <v>150</v>
      </c>
      <c r="D15" s="342">
        <f t="shared" si="0"/>
        <v>5</v>
      </c>
      <c r="E15" s="13">
        <f t="shared" si="1"/>
        <v>150</v>
      </c>
      <c r="F15" s="14">
        <f aca="true" t="shared" si="5" ref="F15:F26">G15+K15+N15+M15</f>
        <v>150</v>
      </c>
      <c r="G15" s="301">
        <f t="shared" si="2"/>
        <v>56</v>
      </c>
      <c r="H15" s="16">
        <v>36</v>
      </c>
      <c r="I15" s="13"/>
      <c r="J15" s="17">
        <v>20</v>
      </c>
      <c r="K15" s="16">
        <v>94</v>
      </c>
      <c r="L15" s="13" t="s">
        <v>125</v>
      </c>
      <c r="M15" s="13"/>
      <c r="N15" s="13"/>
      <c r="O15" s="13" t="s">
        <v>70</v>
      </c>
      <c r="P15" s="17"/>
      <c r="Q15" s="347">
        <f t="shared" si="3"/>
        <v>0</v>
      </c>
      <c r="R15" s="148">
        <f t="shared" si="4"/>
        <v>0</v>
      </c>
      <c r="S15" s="16"/>
      <c r="T15" s="13"/>
      <c r="U15" s="17"/>
      <c r="V15" s="16"/>
      <c r="W15" s="13"/>
      <c r="X15" s="13"/>
      <c r="Y15" s="13"/>
      <c r="Z15" s="13"/>
      <c r="AA15" s="17"/>
    </row>
    <row r="16" spans="1:27" ht="25.5" customHeight="1">
      <c r="A16" s="326" t="s">
        <v>30</v>
      </c>
      <c r="B16" s="323" t="s">
        <v>180</v>
      </c>
      <c r="C16" s="159">
        <v>60</v>
      </c>
      <c r="D16" s="342">
        <f t="shared" si="0"/>
        <v>2</v>
      </c>
      <c r="E16" s="13">
        <f t="shared" si="1"/>
        <v>60</v>
      </c>
      <c r="F16" s="14">
        <f t="shared" si="5"/>
        <v>0</v>
      </c>
      <c r="G16" s="301">
        <f t="shared" si="2"/>
        <v>0</v>
      </c>
      <c r="H16" s="16"/>
      <c r="I16" s="13"/>
      <c r="J16" s="17"/>
      <c r="K16" s="16"/>
      <c r="L16" s="13"/>
      <c r="M16" s="13"/>
      <c r="N16" s="13"/>
      <c r="O16" s="13"/>
      <c r="P16" s="17"/>
      <c r="Q16" s="347">
        <f t="shared" si="3"/>
        <v>60</v>
      </c>
      <c r="R16" s="148">
        <f t="shared" si="4"/>
        <v>44</v>
      </c>
      <c r="S16" s="16">
        <v>24</v>
      </c>
      <c r="T16" s="13"/>
      <c r="U16" s="17">
        <v>20</v>
      </c>
      <c r="V16" s="16">
        <v>16</v>
      </c>
      <c r="W16" s="13"/>
      <c r="X16" s="13"/>
      <c r="Y16" s="13"/>
      <c r="Z16" s="13" t="s">
        <v>70</v>
      </c>
      <c r="AA16" s="17"/>
    </row>
    <row r="17" spans="1:27" ht="24.75" customHeight="1">
      <c r="A17" s="326" t="s">
        <v>31</v>
      </c>
      <c r="B17" s="323" t="s">
        <v>317</v>
      </c>
      <c r="C17" s="159">
        <v>150</v>
      </c>
      <c r="D17" s="342">
        <f t="shared" si="0"/>
        <v>5</v>
      </c>
      <c r="E17" s="13">
        <f t="shared" si="1"/>
        <v>150</v>
      </c>
      <c r="F17" s="14">
        <f t="shared" si="5"/>
        <v>75</v>
      </c>
      <c r="G17" s="301">
        <f t="shared" si="2"/>
        <v>44</v>
      </c>
      <c r="H17" s="16">
        <v>10</v>
      </c>
      <c r="I17" s="13"/>
      <c r="J17" s="17">
        <v>34</v>
      </c>
      <c r="K17" s="16">
        <v>31</v>
      </c>
      <c r="L17" s="13"/>
      <c r="M17" s="13"/>
      <c r="N17" s="13"/>
      <c r="O17" s="13" t="s">
        <v>70</v>
      </c>
      <c r="P17" s="17"/>
      <c r="Q17" s="347">
        <f t="shared" si="3"/>
        <v>75</v>
      </c>
      <c r="R17" s="148">
        <f t="shared" si="4"/>
        <v>44</v>
      </c>
      <c r="S17" s="16">
        <v>10</v>
      </c>
      <c r="T17" s="13"/>
      <c r="U17" s="17">
        <v>34</v>
      </c>
      <c r="V17" s="16">
        <v>31</v>
      </c>
      <c r="W17" s="13"/>
      <c r="X17" s="13"/>
      <c r="Y17" s="13"/>
      <c r="Z17" s="13"/>
      <c r="AA17" s="17" t="s">
        <v>67</v>
      </c>
    </row>
    <row r="18" spans="1:27" ht="20.25">
      <c r="A18" s="326" t="s">
        <v>32</v>
      </c>
      <c r="B18" s="323" t="s">
        <v>303</v>
      </c>
      <c r="C18" s="159">
        <v>120</v>
      </c>
      <c r="D18" s="342">
        <f t="shared" si="0"/>
        <v>4</v>
      </c>
      <c r="E18" s="13">
        <f t="shared" si="1"/>
        <v>120</v>
      </c>
      <c r="F18" s="14">
        <f t="shared" si="5"/>
        <v>120</v>
      </c>
      <c r="G18" s="301">
        <f t="shared" si="2"/>
        <v>66</v>
      </c>
      <c r="H18" s="16"/>
      <c r="I18" s="13"/>
      <c r="J18" s="17">
        <v>66</v>
      </c>
      <c r="K18" s="16">
        <v>54</v>
      </c>
      <c r="L18" s="13"/>
      <c r="M18" s="13"/>
      <c r="N18" s="13"/>
      <c r="O18" s="13" t="s">
        <v>70</v>
      </c>
      <c r="P18" s="17"/>
      <c r="Q18" s="347">
        <f t="shared" si="3"/>
        <v>0</v>
      </c>
      <c r="R18" s="148">
        <f t="shared" si="4"/>
        <v>0</v>
      </c>
      <c r="S18" s="16"/>
      <c r="T18" s="13"/>
      <c r="U18" s="17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4" t="s">
        <v>318</v>
      </c>
      <c r="C19" s="159">
        <v>120</v>
      </c>
      <c r="D19" s="342">
        <f t="shared" si="0"/>
        <v>4</v>
      </c>
      <c r="E19" s="13">
        <f t="shared" si="1"/>
        <v>120</v>
      </c>
      <c r="F19" s="14">
        <f t="shared" si="5"/>
        <v>120</v>
      </c>
      <c r="G19" s="301">
        <f t="shared" si="2"/>
        <v>44</v>
      </c>
      <c r="H19" s="160">
        <v>12</v>
      </c>
      <c r="I19" s="13"/>
      <c r="J19" s="17">
        <v>32</v>
      </c>
      <c r="K19" s="16">
        <v>76</v>
      </c>
      <c r="L19" s="13"/>
      <c r="M19" s="13"/>
      <c r="N19" s="13"/>
      <c r="O19" s="13"/>
      <c r="P19" s="17" t="s">
        <v>67</v>
      </c>
      <c r="Q19" s="347">
        <f t="shared" si="3"/>
        <v>0</v>
      </c>
      <c r="R19" s="148">
        <f t="shared" si="4"/>
        <v>0</v>
      </c>
      <c r="S19" s="167"/>
      <c r="T19" s="13"/>
      <c r="U19" s="17"/>
      <c r="V19" s="16"/>
      <c r="W19" s="13"/>
      <c r="X19" s="13"/>
      <c r="Y19" s="13"/>
      <c r="Z19" s="13"/>
      <c r="AA19" s="17"/>
    </row>
    <row r="20" spans="1:27" ht="24.75" customHeight="1">
      <c r="A20" s="326" t="s">
        <v>34</v>
      </c>
      <c r="B20" s="324" t="s">
        <v>319</v>
      </c>
      <c r="C20" s="159">
        <v>90</v>
      </c>
      <c r="D20" s="342">
        <f t="shared" si="0"/>
        <v>3</v>
      </c>
      <c r="E20" s="13">
        <f t="shared" si="1"/>
        <v>90</v>
      </c>
      <c r="F20" s="14">
        <f t="shared" si="5"/>
        <v>90</v>
      </c>
      <c r="G20" s="301">
        <f t="shared" si="2"/>
        <v>22</v>
      </c>
      <c r="H20" s="160">
        <v>8</v>
      </c>
      <c r="I20" s="13"/>
      <c r="J20" s="17">
        <v>14</v>
      </c>
      <c r="K20" s="16">
        <v>68</v>
      </c>
      <c r="L20" s="13"/>
      <c r="M20" s="13"/>
      <c r="N20" s="13"/>
      <c r="O20" s="13"/>
      <c r="P20" s="17" t="s">
        <v>67</v>
      </c>
      <c r="Q20" s="347">
        <f t="shared" si="3"/>
        <v>0</v>
      </c>
      <c r="R20" s="148">
        <f t="shared" si="4"/>
        <v>0</v>
      </c>
      <c r="S20" s="167"/>
      <c r="T20" s="13"/>
      <c r="U20" s="17"/>
      <c r="V20" s="16"/>
      <c r="W20" s="13"/>
      <c r="X20" s="13"/>
      <c r="Y20" s="13"/>
      <c r="Z20" s="13"/>
      <c r="AA20" s="17"/>
    </row>
    <row r="21" spans="1:27" ht="24.75" customHeight="1">
      <c r="A21" s="362" t="s">
        <v>35</v>
      </c>
      <c r="B21" s="445" t="s">
        <v>320</v>
      </c>
      <c r="C21" s="170">
        <v>90</v>
      </c>
      <c r="D21" s="342">
        <f t="shared" si="0"/>
        <v>3</v>
      </c>
      <c r="E21" s="13">
        <f t="shared" si="1"/>
        <v>90</v>
      </c>
      <c r="F21" s="14">
        <f t="shared" si="5"/>
        <v>0</v>
      </c>
      <c r="G21" s="301">
        <f t="shared" si="2"/>
        <v>0</v>
      </c>
      <c r="H21" s="488"/>
      <c r="I21" s="172"/>
      <c r="J21" s="184"/>
      <c r="K21" s="176"/>
      <c r="L21" s="172"/>
      <c r="M21" s="172"/>
      <c r="N21" s="172"/>
      <c r="O21" s="172"/>
      <c r="P21" s="184"/>
      <c r="Q21" s="347">
        <f t="shared" si="3"/>
        <v>90</v>
      </c>
      <c r="R21" s="148">
        <f t="shared" si="4"/>
        <v>44</v>
      </c>
      <c r="S21" s="421">
        <v>28</v>
      </c>
      <c r="T21" s="172"/>
      <c r="U21" s="184">
        <v>16</v>
      </c>
      <c r="V21" s="176">
        <v>46</v>
      </c>
      <c r="W21" s="172"/>
      <c r="X21" s="172"/>
      <c r="Y21" s="172"/>
      <c r="Z21" s="172"/>
      <c r="AA21" s="184" t="s">
        <v>67</v>
      </c>
    </row>
    <row r="22" spans="1:27" ht="24.75" customHeight="1">
      <c r="A22" s="362" t="s">
        <v>36</v>
      </c>
      <c r="B22" s="445" t="s">
        <v>321</v>
      </c>
      <c r="C22" s="170">
        <v>105</v>
      </c>
      <c r="D22" s="342">
        <f t="shared" si="0"/>
        <v>3.5</v>
      </c>
      <c r="E22" s="13">
        <f t="shared" si="1"/>
        <v>105</v>
      </c>
      <c r="F22" s="14">
        <f t="shared" si="5"/>
        <v>0</v>
      </c>
      <c r="G22" s="301">
        <f t="shared" si="2"/>
        <v>0</v>
      </c>
      <c r="H22" s="488"/>
      <c r="I22" s="172"/>
      <c r="J22" s="184"/>
      <c r="K22" s="176"/>
      <c r="L22" s="172"/>
      <c r="M22" s="172"/>
      <c r="N22" s="172"/>
      <c r="O22" s="172"/>
      <c r="P22" s="184"/>
      <c r="Q22" s="366">
        <f t="shared" si="3"/>
        <v>105</v>
      </c>
      <c r="R22" s="367">
        <f t="shared" si="4"/>
        <v>56</v>
      </c>
      <c r="S22" s="421">
        <v>36</v>
      </c>
      <c r="T22" s="172"/>
      <c r="U22" s="184">
        <v>20</v>
      </c>
      <c r="V22" s="176">
        <v>49</v>
      </c>
      <c r="W22" s="172"/>
      <c r="X22" s="172"/>
      <c r="Y22" s="172"/>
      <c r="Z22" s="172"/>
      <c r="AA22" s="184" t="s">
        <v>67</v>
      </c>
    </row>
    <row r="23" spans="1:27" ht="24.75" customHeight="1" thickBot="1">
      <c r="A23" s="362" t="s">
        <v>37</v>
      </c>
      <c r="B23" s="445" t="s">
        <v>322</v>
      </c>
      <c r="C23" s="170">
        <v>135</v>
      </c>
      <c r="D23" s="342">
        <f t="shared" si="0"/>
        <v>4.5</v>
      </c>
      <c r="E23" s="13">
        <f t="shared" si="1"/>
        <v>135</v>
      </c>
      <c r="F23" s="14">
        <f t="shared" si="5"/>
        <v>0</v>
      </c>
      <c r="G23" s="301">
        <f t="shared" si="2"/>
        <v>0</v>
      </c>
      <c r="H23" s="488"/>
      <c r="I23" s="172"/>
      <c r="J23" s="184"/>
      <c r="K23" s="176"/>
      <c r="L23" s="172"/>
      <c r="M23" s="172"/>
      <c r="N23" s="172"/>
      <c r="O23" s="172"/>
      <c r="P23" s="184"/>
      <c r="Q23" s="366">
        <f t="shared" si="3"/>
        <v>135</v>
      </c>
      <c r="R23" s="367">
        <f t="shared" si="4"/>
        <v>88</v>
      </c>
      <c r="S23" s="421">
        <v>40</v>
      </c>
      <c r="T23" s="172"/>
      <c r="U23" s="184">
        <v>48</v>
      </c>
      <c r="V23" s="176">
        <v>47</v>
      </c>
      <c r="W23" s="172"/>
      <c r="X23" s="172"/>
      <c r="Y23" s="172"/>
      <c r="Z23" s="172" t="s">
        <v>70</v>
      </c>
      <c r="AA23" s="184"/>
    </row>
    <row r="24" spans="1:27" ht="24.75" customHeight="1" thickBot="1">
      <c r="A24" s="374" t="s">
        <v>39</v>
      </c>
      <c r="B24" s="375" t="s">
        <v>362</v>
      </c>
      <c r="C24" s="316">
        <v>150</v>
      </c>
      <c r="D24" s="463">
        <f t="shared" si="0"/>
        <v>5</v>
      </c>
      <c r="E24" s="464">
        <f t="shared" si="1"/>
        <v>150</v>
      </c>
      <c r="F24" s="465">
        <f t="shared" si="5"/>
        <v>150</v>
      </c>
      <c r="G24" s="376">
        <f t="shared" si="2"/>
        <v>66</v>
      </c>
      <c r="H24" s="222">
        <v>14</v>
      </c>
      <c r="I24" s="219"/>
      <c r="J24" s="227">
        <v>52</v>
      </c>
      <c r="K24" s="222">
        <v>84</v>
      </c>
      <c r="L24" s="219"/>
      <c r="M24" s="219"/>
      <c r="N24" s="219"/>
      <c r="O24" s="219"/>
      <c r="P24" s="227" t="s">
        <v>67</v>
      </c>
      <c r="Q24" s="378">
        <f>V24+W24+X24+Y24+R24</f>
        <v>0</v>
      </c>
      <c r="R24" s="379">
        <f t="shared" si="4"/>
        <v>0</v>
      </c>
      <c r="S24" s="222"/>
      <c r="T24" s="224"/>
      <c r="U24" s="486"/>
      <c r="V24" s="226"/>
      <c r="W24" s="219"/>
      <c r="X24" s="219"/>
      <c r="Y24" s="219"/>
      <c r="Z24" s="219"/>
      <c r="AA24" s="227"/>
    </row>
    <row r="25" spans="1:27" s="239" customFormat="1" ht="24.75" customHeight="1" thickBot="1">
      <c r="A25" s="368" t="s">
        <v>40</v>
      </c>
      <c r="B25" s="324" t="s">
        <v>81</v>
      </c>
      <c r="C25" s="383">
        <v>270</v>
      </c>
      <c r="D25" s="427">
        <f t="shared" si="0"/>
        <v>9</v>
      </c>
      <c r="E25" s="424">
        <f t="shared" si="1"/>
        <v>270</v>
      </c>
      <c r="F25" s="322">
        <f t="shared" si="5"/>
        <v>270</v>
      </c>
      <c r="G25" s="462">
        <f t="shared" si="2"/>
        <v>150</v>
      </c>
      <c r="H25" s="373"/>
      <c r="I25" s="370"/>
      <c r="J25" s="249">
        <f>30*5</f>
        <v>150</v>
      </c>
      <c r="K25" s="373">
        <v>120</v>
      </c>
      <c r="L25" s="370"/>
      <c r="M25" s="370"/>
      <c r="N25" s="370"/>
      <c r="O25" s="370"/>
      <c r="P25" s="249" t="s">
        <v>67</v>
      </c>
      <c r="Q25" s="380">
        <f>V25+X25+Y25+R25</f>
        <v>0</v>
      </c>
      <c r="R25" s="351">
        <f t="shared" si="4"/>
        <v>0</v>
      </c>
      <c r="S25" s="373"/>
      <c r="T25" s="370"/>
      <c r="U25" s="249"/>
      <c r="V25" s="373"/>
      <c r="W25" s="370"/>
      <c r="X25" s="370"/>
      <c r="Y25" s="370"/>
      <c r="Z25" s="370"/>
      <c r="AA25" s="249"/>
    </row>
    <row r="26" spans="1:27" s="239" customFormat="1" ht="24.75" customHeight="1" thickBot="1">
      <c r="A26" s="336" t="s">
        <v>41</v>
      </c>
      <c r="B26" s="360" t="s">
        <v>217</v>
      </c>
      <c r="C26" s="235">
        <v>180</v>
      </c>
      <c r="D26" s="119">
        <f t="shared" si="0"/>
        <v>6</v>
      </c>
      <c r="E26" s="120">
        <f t="shared" si="1"/>
        <v>180</v>
      </c>
      <c r="F26" s="121">
        <f t="shared" si="5"/>
        <v>0</v>
      </c>
      <c r="G26" s="462">
        <f t="shared" si="2"/>
        <v>0</v>
      </c>
      <c r="H26" s="119"/>
      <c r="I26" s="120"/>
      <c r="J26" s="121"/>
      <c r="K26" s="119"/>
      <c r="L26" s="120"/>
      <c r="M26" s="120"/>
      <c r="N26" s="120"/>
      <c r="O26" s="120"/>
      <c r="P26" s="121"/>
      <c r="Q26" s="380">
        <f>V26+X26+Y26+R26</f>
        <v>180</v>
      </c>
      <c r="R26" s="351">
        <f t="shared" si="4"/>
        <v>120</v>
      </c>
      <c r="S26" s="119"/>
      <c r="T26" s="120"/>
      <c r="U26" s="121">
        <f>4*30</f>
        <v>120</v>
      </c>
      <c r="V26" s="119">
        <f>4*15</f>
        <v>60</v>
      </c>
      <c r="W26" s="120"/>
      <c r="X26" s="120"/>
      <c r="Y26" s="120"/>
      <c r="Z26" s="120"/>
      <c r="AA26" s="121" t="s">
        <v>67</v>
      </c>
    </row>
    <row r="27" spans="1:27" s="239" customFormat="1" ht="24.75" customHeight="1" thickBot="1">
      <c r="A27" s="337" t="s">
        <v>55</v>
      </c>
      <c r="B27" s="361" t="s">
        <v>218</v>
      </c>
      <c r="C27" s="338">
        <v>30</v>
      </c>
      <c r="D27" s="106">
        <f>E27/30</f>
        <v>1</v>
      </c>
      <c r="E27" s="105">
        <f t="shared" si="1"/>
        <v>30</v>
      </c>
      <c r="F27" s="107">
        <f>G27+K27+N27+M27</f>
        <v>0</v>
      </c>
      <c r="G27" s="462">
        <f t="shared" si="2"/>
        <v>0</v>
      </c>
      <c r="H27" s="343"/>
      <c r="I27" s="344"/>
      <c r="J27" s="345"/>
      <c r="K27" s="343"/>
      <c r="L27" s="344"/>
      <c r="M27" s="344"/>
      <c r="N27" s="344"/>
      <c r="O27" s="344"/>
      <c r="P27" s="345"/>
      <c r="Q27" s="380">
        <f>V27+X27+Y27+R27</f>
        <v>30</v>
      </c>
      <c r="R27" s="351">
        <f t="shared" si="4"/>
        <v>30</v>
      </c>
      <c r="S27" s="343"/>
      <c r="T27" s="355"/>
      <c r="U27" s="487">
        <v>30</v>
      </c>
      <c r="V27" s="357"/>
      <c r="W27" s="344"/>
      <c r="X27" s="344"/>
      <c r="Y27" s="344"/>
      <c r="Z27" s="105"/>
      <c r="AA27" s="345"/>
    </row>
    <row r="28" spans="1:27" ht="24.75" customHeight="1" thickBot="1">
      <c r="A28" s="28"/>
      <c r="B28" s="241" t="s">
        <v>42</v>
      </c>
      <c r="C28" s="33">
        <f>SUM(C14:C27)</f>
        <v>1710</v>
      </c>
      <c r="D28" s="38">
        <f>SUM(D14:D27)</f>
        <v>57</v>
      </c>
      <c r="E28" s="31">
        <f>SUM(E14:E27)</f>
        <v>1710</v>
      </c>
      <c r="F28" s="32">
        <f>SUM(F14:F27)</f>
        <v>975</v>
      </c>
      <c r="G28" s="33">
        <f>SUM(G14:G24)</f>
        <v>298</v>
      </c>
      <c r="H28" s="30">
        <f>SUM(H14:H27)</f>
        <v>80</v>
      </c>
      <c r="I28" s="31">
        <f>SUM(I14:I27)</f>
        <v>0</v>
      </c>
      <c r="J28" s="142">
        <f>SUM(J14:J27)</f>
        <v>368</v>
      </c>
      <c r="K28" s="30">
        <f>SUM(K14:K27)</f>
        <v>527</v>
      </c>
      <c r="L28" s="31">
        <v>1</v>
      </c>
      <c r="M28" s="31">
        <f>SUM(M14:M27)</f>
        <v>0</v>
      </c>
      <c r="N28" s="31">
        <f>SUM(N14:N27)</f>
        <v>0</v>
      </c>
      <c r="O28" s="31">
        <v>3</v>
      </c>
      <c r="P28" s="142">
        <v>3</v>
      </c>
      <c r="Q28" s="33">
        <f>SUM(Q14:Q27)</f>
        <v>735</v>
      </c>
      <c r="R28" s="37">
        <f>SUM(R14:R24)</f>
        <v>320</v>
      </c>
      <c r="S28" s="30">
        <f>SUM(S14:S27)</f>
        <v>162</v>
      </c>
      <c r="T28" s="31">
        <f>SUM(T14:T27)</f>
        <v>0</v>
      </c>
      <c r="U28" s="142">
        <f>SUM(U14:U27)</f>
        <v>308</v>
      </c>
      <c r="V28" s="30">
        <f>SUM(V14:V27)</f>
        <v>265</v>
      </c>
      <c r="W28" s="31">
        <v>0</v>
      </c>
      <c r="X28" s="31">
        <v>0</v>
      </c>
      <c r="Y28" s="31">
        <v>0</v>
      </c>
      <c r="Z28" s="31">
        <v>2</v>
      </c>
      <c r="AA28" s="142">
        <v>4</v>
      </c>
    </row>
    <row r="29" spans="1:27" ht="24.75" customHeight="1" thickBot="1">
      <c r="A29" s="589"/>
      <c r="B29" s="384" t="s">
        <v>43</v>
      </c>
      <c r="C29" s="46"/>
      <c r="D29" s="387"/>
      <c r="E29" s="47"/>
      <c r="F29" s="388"/>
      <c r="G29" s="389">
        <f>G28/J10</f>
        <v>27.09090909090909</v>
      </c>
      <c r="H29" s="46"/>
      <c r="I29" s="47"/>
      <c r="J29" s="47"/>
      <c r="K29" s="47"/>
      <c r="L29" s="47"/>
      <c r="M29" s="47"/>
      <c r="N29" s="47"/>
      <c r="O29" s="48"/>
      <c r="P29" s="49"/>
      <c r="Q29" s="388"/>
      <c r="R29" s="390">
        <f>SUM(R14:R24)/U10</f>
        <v>29.09090909090909</v>
      </c>
      <c r="S29" s="391"/>
      <c r="T29" s="47"/>
      <c r="U29" s="47"/>
      <c r="V29" s="47"/>
      <c r="W29" s="47"/>
      <c r="X29" s="47"/>
      <c r="Y29" s="47"/>
      <c r="Z29" s="48"/>
      <c r="AA29" s="49"/>
    </row>
    <row r="30" spans="1:27" ht="24.75" customHeight="1" thickBot="1">
      <c r="A30" s="590"/>
      <c r="B30" s="385" t="s">
        <v>44</v>
      </c>
      <c r="C30" s="57"/>
      <c r="D30" s="54"/>
      <c r="E30" s="43"/>
      <c r="F30" s="55"/>
      <c r="G30" s="56"/>
      <c r="H30" s="57"/>
      <c r="I30" s="43"/>
      <c r="J30" s="43"/>
      <c r="K30" s="43"/>
      <c r="L30" s="43"/>
      <c r="M30" s="43"/>
      <c r="N30" s="58"/>
      <c r="O30" s="39">
        <v>3</v>
      </c>
      <c r="P30" s="59"/>
      <c r="Q30" s="60"/>
      <c r="R30" s="61"/>
      <c r="S30" s="62"/>
      <c r="T30" s="62"/>
      <c r="U30" s="62"/>
      <c r="V30" s="62"/>
      <c r="W30" s="62"/>
      <c r="X30" s="62"/>
      <c r="Y30" s="58"/>
      <c r="Z30" s="39">
        <v>2</v>
      </c>
      <c r="AA30" s="144"/>
    </row>
    <row r="31" spans="1:27" ht="24.75" customHeight="1" thickBot="1">
      <c r="A31" s="590"/>
      <c r="B31" s="385" t="s">
        <v>45</v>
      </c>
      <c r="C31" s="57"/>
      <c r="D31" s="54"/>
      <c r="E31" s="43"/>
      <c r="F31" s="55"/>
      <c r="G31" s="58"/>
      <c r="H31" s="57"/>
      <c r="I31" s="43"/>
      <c r="J31" s="43"/>
      <c r="K31" s="43"/>
      <c r="L31" s="63"/>
      <c r="M31" s="43"/>
      <c r="N31" s="62"/>
      <c r="O31" s="56"/>
      <c r="P31" s="39">
        <v>4</v>
      </c>
      <c r="Q31" s="60"/>
      <c r="R31" s="62"/>
      <c r="S31" s="62"/>
      <c r="T31" s="62"/>
      <c r="U31" s="62"/>
      <c r="V31" s="62"/>
      <c r="W31" s="64"/>
      <c r="X31" s="62"/>
      <c r="Y31" s="62"/>
      <c r="Z31" s="56"/>
      <c r="AA31" s="39">
        <v>5</v>
      </c>
    </row>
    <row r="32" spans="1:27" ht="24.75" customHeight="1" thickBot="1">
      <c r="A32" s="590"/>
      <c r="B32" s="386" t="s">
        <v>46</v>
      </c>
      <c r="C32" s="68"/>
      <c r="D32" s="70"/>
      <c r="E32" s="69"/>
      <c r="F32" s="71"/>
      <c r="G32" s="70"/>
      <c r="H32" s="68"/>
      <c r="I32" s="69"/>
      <c r="J32" s="69"/>
      <c r="K32" s="70"/>
      <c r="L32" s="39">
        <v>1</v>
      </c>
      <c r="M32" s="71"/>
      <c r="N32" s="72"/>
      <c r="O32" s="72"/>
      <c r="P32" s="73"/>
      <c r="Q32" s="392"/>
      <c r="R32" s="72"/>
      <c r="S32" s="72"/>
      <c r="T32" s="72"/>
      <c r="U32" s="72"/>
      <c r="V32" s="393"/>
      <c r="W32" s="39">
        <v>0</v>
      </c>
      <c r="X32" s="71"/>
      <c r="Y32" s="69"/>
      <c r="Z32" s="72"/>
      <c r="AA32" s="73"/>
    </row>
    <row r="33" spans="1:27" ht="24.75" customHeight="1" thickBot="1">
      <c r="A33" s="591"/>
      <c r="B33" s="137" t="s">
        <v>47</v>
      </c>
      <c r="C33" s="77">
        <f>SUM(C29:C32)</f>
        <v>0</v>
      </c>
      <c r="D33" s="77">
        <f aca="true" t="shared" si="6" ref="D33:AA33">SUM(D29:D32)</f>
        <v>0</v>
      </c>
      <c r="E33" s="77">
        <f t="shared" si="6"/>
        <v>0</v>
      </c>
      <c r="F33" s="77">
        <f t="shared" si="6"/>
        <v>0</v>
      </c>
      <c r="G33" s="78">
        <f>SUM(G29:G32)</f>
        <v>27.09090909090909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2">
        <f t="shared" si="6"/>
        <v>0</v>
      </c>
      <c r="L33" s="39">
        <f t="shared" si="6"/>
        <v>1</v>
      </c>
      <c r="M33" s="38">
        <f t="shared" si="6"/>
        <v>0</v>
      </c>
      <c r="N33" s="31">
        <f t="shared" si="6"/>
        <v>0</v>
      </c>
      <c r="O33" s="31">
        <f t="shared" si="6"/>
        <v>3</v>
      </c>
      <c r="P33" s="31">
        <f t="shared" si="6"/>
        <v>4</v>
      </c>
      <c r="Q33" s="77">
        <f t="shared" si="6"/>
        <v>0</v>
      </c>
      <c r="R33" s="78">
        <f t="shared" si="6"/>
        <v>29.09090909090909</v>
      </c>
      <c r="S33" s="77">
        <f t="shared" si="6"/>
        <v>0</v>
      </c>
      <c r="T33" s="77">
        <f t="shared" si="6"/>
        <v>0</v>
      </c>
      <c r="U33" s="77">
        <f t="shared" si="6"/>
        <v>0</v>
      </c>
      <c r="V33" s="79">
        <f t="shared" si="6"/>
        <v>0</v>
      </c>
      <c r="W33" s="39">
        <f t="shared" si="6"/>
        <v>0</v>
      </c>
      <c r="X33" s="243">
        <f t="shared" si="6"/>
        <v>0</v>
      </c>
      <c r="Y33" s="77">
        <f t="shared" si="6"/>
        <v>0</v>
      </c>
      <c r="Z33" s="77">
        <f>SUM(Z29:Z32)</f>
        <v>2</v>
      </c>
      <c r="AA33" s="146">
        <f t="shared" si="6"/>
        <v>5</v>
      </c>
    </row>
    <row r="34" spans="1:27" ht="24.75" customHeight="1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6.25">
      <c r="A37" s="1"/>
      <c r="B37" s="82" t="s">
        <v>60</v>
      </c>
      <c r="C37" s="82"/>
      <c r="D37" s="82"/>
      <c r="E37" s="82"/>
      <c r="F37" s="82"/>
      <c r="G37" s="82"/>
      <c r="H37" s="82"/>
      <c r="I37" s="82"/>
      <c r="J37" s="82"/>
      <c r="K37" s="82" t="s">
        <v>59</v>
      </c>
      <c r="L37" s="82"/>
      <c r="M37" s="82"/>
      <c r="N37" s="82"/>
      <c r="O37" s="82"/>
      <c r="P37" s="82"/>
      <c r="Q37" s="82"/>
      <c r="R37" s="83"/>
      <c r="S37" s="83"/>
      <c r="T37" s="84"/>
      <c r="U37" s="85"/>
      <c r="V37" s="85"/>
      <c r="W37" s="85"/>
      <c r="X37" s="85"/>
      <c r="Y37" s="86"/>
      <c r="Z37" s="86"/>
      <c r="AA37" s="86"/>
    </row>
    <row r="38" spans="1:27" ht="26.25">
      <c r="A38" s="87"/>
      <c r="B38" s="592"/>
      <c r="C38" s="592"/>
      <c r="D38" s="592"/>
      <c r="E38" s="592"/>
      <c r="F38" s="592"/>
      <c r="G38" s="592"/>
      <c r="H38" s="592"/>
      <c r="I38" s="592"/>
      <c r="J38" s="592"/>
      <c r="K38" s="87"/>
      <c r="L38" s="87"/>
      <c r="M38" s="87"/>
      <c r="N38" s="87"/>
      <c r="O38" s="87"/>
      <c r="P38" s="87"/>
      <c r="Q38" s="87"/>
      <c r="R38" s="87" t="s">
        <v>48</v>
      </c>
      <c r="S38" s="89"/>
      <c r="T38" s="90" t="s">
        <v>49</v>
      </c>
      <c r="U38" s="91" t="s">
        <v>50</v>
      </c>
      <c r="V38" s="91"/>
      <c r="W38" s="91"/>
      <c r="X38" s="90"/>
      <c r="Y38" s="90"/>
      <c r="Z38" s="92"/>
      <c r="AA38" s="92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/>
      <c r="L39" s="82"/>
      <c r="M39" s="82"/>
      <c r="N39" s="82"/>
      <c r="O39" s="82"/>
      <c r="P39" s="82"/>
      <c r="Q39" s="82"/>
      <c r="R39" s="82"/>
      <c r="S39" s="82"/>
      <c r="T39" s="84"/>
      <c r="U39" s="84"/>
      <c r="V39" s="84"/>
      <c r="W39" s="84"/>
      <c r="X39" s="93"/>
      <c r="Y39" s="93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 t="s">
        <v>51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52</v>
      </c>
      <c r="U41" s="91" t="s">
        <v>50</v>
      </c>
      <c r="V41" s="91"/>
      <c r="W41" s="91"/>
      <c r="X41" s="90"/>
      <c r="Y41" s="90"/>
      <c r="Z41" s="94"/>
      <c r="AA41" s="94"/>
    </row>
  </sheetData>
  <sheetProtection/>
  <mergeCells count="42">
    <mergeCell ref="A29:A33"/>
    <mergeCell ref="B38:J38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3"/>
  <sheetViews>
    <sheetView zoomScale="55" zoomScaleNormal="55" zoomScalePageLayoutView="0" workbookViewId="0" topLeftCell="A1">
      <selection activeCell="AA43" sqref="A1:AA43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161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162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121</v>
      </c>
      <c r="G10" s="573"/>
      <c r="H10" s="573"/>
      <c r="I10" s="573"/>
      <c r="J10" s="140">
        <v>9</v>
      </c>
      <c r="K10" s="573" t="s">
        <v>12</v>
      </c>
      <c r="L10" s="573"/>
      <c r="M10" s="573"/>
      <c r="N10" s="573"/>
      <c r="O10" s="573"/>
      <c r="P10" s="574"/>
      <c r="Q10" s="572" t="s">
        <v>122</v>
      </c>
      <c r="R10" s="573"/>
      <c r="S10" s="573"/>
      <c r="T10" s="574"/>
      <c r="U10" s="140">
        <v>15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s="239" customFormat="1" ht="24.75" customHeight="1">
      <c r="A14" s="422" t="s">
        <v>28</v>
      </c>
      <c r="B14" s="334" t="s">
        <v>123</v>
      </c>
      <c r="C14" s="459">
        <v>60</v>
      </c>
      <c r="D14" s="492">
        <f>E14/30</f>
        <v>2</v>
      </c>
      <c r="E14" s="424">
        <f>F14+Q14</f>
        <v>60</v>
      </c>
      <c r="F14" s="322">
        <f>G14+K14+N14+M14</f>
        <v>60</v>
      </c>
      <c r="G14" s="496">
        <f>H14+I14+J14</f>
        <v>28</v>
      </c>
      <c r="H14" s="427">
        <v>18</v>
      </c>
      <c r="I14" s="424"/>
      <c r="J14" s="425">
        <v>10</v>
      </c>
      <c r="K14" s="427">
        <v>32</v>
      </c>
      <c r="L14" s="424"/>
      <c r="M14" s="424"/>
      <c r="N14" s="424"/>
      <c r="O14" s="424"/>
      <c r="P14" s="425" t="s">
        <v>67</v>
      </c>
      <c r="Q14" s="495">
        <f aca="true" t="shared" si="0" ref="Q14:Q25">V14+X14+Y14+R14</f>
        <v>0</v>
      </c>
      <c r="R14" s="426">
        <f aca="true" t="shared" si="1" ref="R14:R29">S14+T14+U14</f>
        <v>0</v>
      </c>
      <c r="S14" s="427"/>
      <c r="T14" s="424"/>
      <c r="U14" s="425"/>
      <c r="V14" s="427"/>
      <c r="W14" s="424"/>
      <c r="X14" s="424"/>
      <c r="Y14" s="424"/>
      <c r="Z14" s="424"/>
      <c r="AA14" s="322"/>
    </row>
    <row r="15" spans="1:27" s="239" customFormat="1" ht="24.75" customHeight="1">
      <c r="A15" s="336" t="s">
        <v>29</v>
      </c>
      <c r="B15" s="359" t="s">
        <v>171</v>
      </c>
      <c r="C15" s="497">
        <v>90</v>
      </c>
      <c r="D15" s="498">
        <f aca="true" t="shared" si="2" ref="D15:D29">E15/30</f>
        <v>3</v>
      </c>
      <c r="E15" s="120">
        <f aca="true" t="shared" si="3" ref="E15:E29">F15+Q15</f>
        <v>90</v>
      </c>
      <c r="F15" s="121">
        <f>G15+K15+N15+M15</f>
        <v>90</v>
      </c>
      <c r="G15" s="251">
        <f aca="true" t="shared" si="4" ref="G15:G29">H15+I15+J15</f>
        <v>28</v>
      </c>
      <c r="H15" s="119">
        <v>18</v>
      </c>
      <c r="I15" s="120"/>
      <c r="J15" s="21">
        <v>10</v>
      </c>
      <c r="K15" s="119">
        <v>62</v>
      </c>
      <c r="L15" s="120"/>
      <c r="M15" s="120"/>
      <c r="N15" s="120"/>
      <c r="O15" s="120"/>
      <c r="P15" s="21" t="s">
        <v>67</v>
      </c>
      <c r="Q15" s="500">
        <f t="shared" si="0"/>
        <v>0</v>
      </c>
      <c r="R15" s="237">
        <f t="shared" si="1"/>
        <v>0</v>
      </c>
      <c r="S15" s="119"/>
      <c r="T15" s="120"/>
      <c r="U15" s="21"/>
      <c r="V15" s="119"/>
      <c r="W15" s="120"/>
      <c r="X15" s="120"/>
      <c r="Y15" s="120"/>
      <c r="Z15" s="120"/>
      <c r="AA15" s="121"/>
    </row>
    <row r="16" spans="1:27" s="239" customFormat="1" ht="24.75" customHeight="1">
      <c r="A16" s="336" t="s">
        <v>30</v>
      </c>
      <c r="B16" s="323" t="s">
        <v>131</v>
      </c>
      <c r="C16" s="460">
        <v>180</v>
      </c>
      <c r="D16" s="498">
        <f t="shared" si="2"/>
        <v>3</v>
      </c>
      <c r="E16" s="120">
        <f t="shared" si="3"/>
        <v>90</v>
      </c>
      <c r="F16" s="121">
        <f>G16+K16+N16+M16</f>
        <v>45</v>
      </c>
      <c r="G16" s="251">
        <f t="shared" si="4"/>
        <v>18</v>
      </c>
      <c r="H16" s="119"/>
      <c r="I16" s="120"/>
      <c r="J16" s="21">
        <v>18</v>
      </c>
      <c r="K16" s="119">
        <v>27</v>
      </c>
      <c r="L16" s="120"/>
      <c r="M16" s="120"/>
      <c r="N16" s="120"/>
      <c r="O16" s="120" t="s">
        <v>69</v>
      </c>
      <c r="P16" s="21"/>
      <c r="Q16" s="500">
        <f t="shared" si="0"/>
        <v>45</v>
      </c>
      <c r="R16" s="237">
        <f t="shared" si="1"/>
        <v>30</v>
      </c>
      <c r="S16" s="119"/>
      <c r="T16" s="120"/>
      <c r="U16" s="21">
        <v>30</v>
      </c>
      <c r="V16" s="119">
        <v>15</v>
      </c>
      <c r="W16" s="120"/>
      <c r="X16" s="120"/>
      <c r="Y16" s="120"/>
      <c r="Z16" s="120" t="s">
        <v>70</v>
      </c>
      <c r="AA16" s="121"/>
    </row>
    <row r="17" spans="1:27" s="239" customFormat="1" ht="24.75" customHeight="1">
      <c r="A17" s="336" t="s">
        <v>31</v>
      </c>
      <c r="B17" s="323" t="s">
        <v>163</v>
      </c>
      <c r="C17" s="460">
        <v>120</v>
      </c>
      <c r="D17" s="498">
        <f t="shared" si="2"/>
        <v>4</v>
      </c>
      <c r="E17" s="120">
        <f t="shared" si="3"/>
        <v>120</v>
      </c>
      <c r="F17" s="121">
        <f aca="true" t="shared" si="5" ref="F17:F29">G17+K17+N17+M17</f>
        <v>120</v>
      </c>
      <c r="G17" s="251">
        <f t="shared" si="4"/>
        <v>54</v>
      </c>
      <c r="H17" s="119">
        <v>32</v>
      </c>
      <c r="I17" s="120"/>
      <c r="J17" s="21">
        <v>22</v>
      </c>
      <c r="K17" s="119">
        <v>66</v>
      </c>
      <c r="L17" s="120"/>
      <c r="M17" s="120"/>
      <c r="N17" s="120"/>
      <c r="O17" s="120" t="s">
        <v>70</v>
      </c>
      <c r="P17" s="21"/>
      <c r="Q17" s="500">
        <f t="shared" si="0"/>
        <v>0</v>
      </c>
      <c r="R17" s="237">
        <f t="shared" si="1"/>
        <v>0</v>
      </c>
      <c r="S17" s="119"/>
      <c r="T17" s="120"/>
      <c r="U17" s="21"/>
      <c r="V17" s="119"/>
      <c r="W17" s="120"/>
      <c r="X17" s="120"/>
      <c r="Y17" s="120"/>
      <c r="Z17" s="120"/>
      <c r="AA17" s="121"/>
    </row>
    <row r="18" spans="1:27" ht="24.75" customHeight="1">
      <c r="A18" s="326" t="s">
        <v>32</v>
      </c>
      <c r="B18" s="323" t="s">
        <v>164</v>
      </c>
      <c r="C18" s="340">
        <v>75</v>
      </c>
      <c r="D18" s="342">
        <f t="shared" si="2"/>
        <v>2.5</v>
      </c>
      <c r="E18" s="13">
        <f t="shared" si="3"/>
        <v>75</v>
      </c>
      <c r="F18" s="17">
        <f>G18+K18+N18+M18</f>
        <v>75</v>
      </c>
      <c r="G18" s="148">
        <f t="shared" si="4"/>
        <v>32</v>
      </c>
      <c r="H18" s="16">
        <v>22</v>
      </c>
      <c r="I18" s="13"/>
      <c r="J18" s="14">
        <v>10</v>
      </c>
      <c r="K18" s="16">
        <v>43</v>
      </c>
      <c r="L18" s="13"/>
      <c r="M18" s="13"/>
      <c r="N18" s="13"/>
      <c r="O18" s="13"/>
      <c r="P18" s="14" t="s">
        <v>67</v>
      </c>
      <c r="Q18" s="347">
        <f t="shared" si="0"/>
        <v>0</v>
      </c>
      <c r="R18" s="15">
        <f t="shared" si="1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3" t="s">
        <v>165</v>
      </c>
      <c r="C19" s="340">
        <v>120</v>
      </c>
      <c r="D19" s="342">
        <f t="shared" si="2"/>
        <v>4</v>
      </c>
      <c r="E19" s="13">
        <f t="shared" si="3"/>
        <v>120</v>
      </c>
      <c r="F19" s="17">
        <f t="shared" si="5"/>
        <v>0</v>
      </c>
      <c r="G19" s="148">
        <f t="shared" si="4"/>
        <v>0</v>
      </c>
      <c r="H19" s="16"/>
      <c r="I19" s="13"/>
      <c r="J19" s="14"/>
      <c r="K19" s="16"/>
      <c r="L19" s="13"/>
      <c r="M19" s="13"/>
      <c r="N19" s="13"/>
      <c r="O19" s="13"/>
      <c r="P19" s="14"/>
      <c r="Q19" s="347">
        <f t="shared" si="0"/>
        <v>120</v>
      </c>
      <c r="R19" s="15">
        <f t="shared" si="1"/>
        <v>60</v>
      </c>
      <c r="S19" s="16">
        <v>30</v>
      </c>
      <c r="T19" s="13"/>
      <c r="U19" s="14">
        <v>30</v>
      </c>
      <c r="V19" s="16">
        <v>60</v>
      </c>
      <c r="W19" s="13"/>
      <c r="X19" s="13"/>
      <c r="Y19" s="13"/>
      <c r="Z19" s="13" t="s">
        <v>70</v>
      </c>
      <c r="AA19" s="17"/>
    </row>
    <row r="20" spans="1:27" ht="24.75" customHeight="1">
      <c r="A20" s="326" t="s">
        <v>34</v>
      </c>
      <c r="B20" s="323" t="s">
        <v>166</v>
      </c>
      <c r="C20" s="340">
        <v>150</v>
      </c>
      <c r="D20" s="342">
        <f t="shared" si="2"/>
        <v>5</v>
      </c>
      <c r="E20" s="13">
        <f t="shared" si="3"/>
        <v>150</v>
      </c>
      <c r="F20" s="17">
        <f t="shared" si="5"/>
        <v>0</v>
      </c>
      <c r="G20" s="148">
        <f t="shared" si="4"/>
        <v>0</v>
      </c>
      <c r="H20" s="16"/>
      <c r="I20" s="13"/>
      <c r="J20" s="14"/>
      <c r="K20" s="16"/>
      <c r="L20" s="13"/>
      <c r="M20" s="13"/>
      <c r="N20" s="13"/>
      <c r="O20" s="13"/>
      <c r="P20" s="14"/>
      <c r="Q20" s="347">
        <f t="shared" si="0"/>
        <v>150</v>
      </c>
      <c r="R20" s="15">
        <f t="shared" si="1"/>
        <v>90</v>
      </c>
      <c r="S20" s="16">
        <v>50</v>
      </c>
      <c r="T20" s="13"/>
      <c r="U20" s="14">
        <v>40</v>
      </c>
      <c r="V20" s="16">
        <v>60</v>
      </c>
      <c r="W20" s="13"/>
      <c r="X20" s="13"/>
      <c r="Y20" s="13"/>
      <c r="Z20" s="13"/>
      <c r="AA20" s="17" t="s">
        <v>67</v>
      </c>
    </row>
    <row r="21" spans="1:27" ht="24.75" customHeight="1">
      <c r="A21" s="326" t="s">
        <v>35</v>
      </c>
      <c r="B21" s="323" t="s">
        <v>167</v>
      </c>
      <c r="C21" s="340">
        <v>120</v>
      </c>
      <c r="D21" s="342">
        <f t="shared" si="2"/>
        <v>4</v>
      </c>
      <c r="E21" s="13">
        <f t="shared" si="3"/>
        <v>120</v>
      </c>
      <c r="F21" s="17">
        <f t="shared" si="5"/>
        <v>0</v>
      </c>
      <c r="G21" s="148">
        <f t="shared" si="4"/>
        <v>0</v>
      </c>
      <c r="H21" s="16"/>
      <c r="I21" s="13"/>
      <c r="J21" s="14"/>
      <c r="K21" s="16"/>
      <c r="L21" s="13"/>
      <c r="M21" s="13"/>
      <c r="N21" s="13"/>
      <c r="O21" s="13"/>
      <c r="P21" s="14"/>
      <c r="Q21" s="347">
        <f t="shared" si="0"/>
        <v>120</v>
      </c>
      <c r="R21" s="15">
        <f t="shared" si="1"/>
        <v>60</v>
      </c>
      <c r="S21" s="16">
        <v>40</v>
      </c>
      <c r="T21" s="13"/>
      <c r="U21" s="14">
        <v>20</v>
      </c>
      <c r="V21" s="16">
        <v>60</v>
      </c>
      <c r="W21" s="13"/>
      <c r="X21" s="13"/>
      <c r="Y21" s="13"/>
      <c r="Z21" s="13"/>
      <c r="AA21" s="17" t="s">
        <v>67</v>
      </c>
    </row>
    <row r="22" spans="1:27" ht="48.75" customHeight="1">
      <c r="A22" s="326" t="s">
        <v>36</v>
      </c>
      <c r="B22" s="323" t="s">
        <v>168</v>
      </c>
      <c r="C22" s="340">
        <v>120</v>
      </c>
      <c r="D22" s="342">
        <f t="shared" si="2"/>
        <v>4</v>
      </c>
      <c r="E22" s="13">
        <f t="shared" si="3"/>
        <v>120</v>
      </c>
      <c r="F22" s="17">
        <f t="shared" si="5"/>
        <v>0</v>
      </c>
      <c r="G22" s="148">
        <f t="shared" si="4"/>
        <v>0</v>
      </c>
      <c r="H22" s="16"/>
      <c r="I22" s="13"/>
      <c r="J22" s="14"/>
      <c r="K22" s="16"/>
      <c r="L22" s="13"/>
      <c r="M22" s="13"/>
      <c r="N22" s="13"/>
      <c r="O22" s="13"/>
      <c r="P22" s="14"/>
      <c r="Q22" s="347">
        <f t="shared" si="0"/>
        <v>120</v>
      </c>
      <c r="R22" s="15">
        <f t="shared" si="1"/>
        <v>60</v>
      </c>
      <c r="S22" s="16">
        <v>30</v>
      </c>
      <c r="T22" s="13"/>
      <c r="U22" s="14">
        <v>30</v>
      </c>
      <c r="V22" s="16">
        <v>60</v>
      </c>
      <c r="W22" s="13"/>
      <c r="X22" s="13"/>
      <c r="Y22" s="13"/>
      <c r="Z22" s="13" t="s">
        <v>70</v>
      </c>
      <c r="AA22" s="17"/>
    </row>
    <row r="23" spans="1:27" ht="24.75" customHeight="1">
      <c r="A23" s="326" t="s">
        <v>37</v>
      </c>
      <c r="B23" s="324" t="s">
        <v>169</v>
      </c>
      <c r="C23" s="340">
        <v>120</v>
      </c>
      <c r="D23" s="342">
        <f t="shared" si="2"/>
        <v>4</v>
      </c>
      <c r="E23" s="13">
        <f t="shared" si="3"/>
        <v>120</v>
      </c>
      <c r="F23" s="17">
        <f t="shared" si="5"/>
        <v>0</v>
      </c>
      <c r="G23" s="148">
        <f t="shared" si="4"/>
        <v>0</v>
      </c>
      <c r="H23" s="160"/>
      <c r="I23" s="13"/>
      <c r="J23" s="14"/>
      <c r="K23" s="16"/>
      <c r="L23" s="13"/>
      <c r="M23" s="13"/>
      <c r="N23" s="13"/>
      <c r="O23" s="13"/>
      <c r="P23" s="14"/>
      <c r="Q23" s="347">
        <f t="shared" si="0"/>
        <v>120</v>
      </c>
      <c r="R23" s="15">
        <f t="shared" si="1"/>
        <v>60</v>
      </c>
      <c r="S23" s="167">
        <v>30</v>
      </c>
      <c r="T23" s="13"/>
      <c r="U23" s="14">
        <v>30</v>
      </c>
      <c r="V23" s="16">
        <v>60</v>
      </c>
      <c r="W23" s="13"/>
      <c r="X23" s="13"/>
      <c r="Y23" s="13"/>
      <c r="Z23" s="13"/>
      <c r="AA23" s="17" t="s">
        <v>67</v>
      </c>
    </row>
    <row r="24" spans="1:27" ht="24.75" customHeight="1">
      <c r="A24" s="326" t="s">
        <v>38</v>
      </c>
      <c r="B24" s="324" t="s">
        <v>170</v>
      </c>
      <c r="C24" s="340">
        <v>150</v>
      </c>
      <c r="D24" s="342">
        <f t="shared" si="2"/>
        <v>5</v>
      </c>
      <c r="E24" s="13">
        <f t="shared" si="3"/>
        <v>150</v>
      </c>
      <c r="F24" s="17">
        <f t="shared" si="5"/>
        <v>150</v>
      </c>
      <c r="G24" s="148">
        <f t="shared" si="4"/>
        <v>54</v>
      </c>
      <c r="H24" s="160">
        <v>34</v>
      </c>
      <c r="I24" s="13"/>
      <c r="J24" s="14">
        <v>20</v>
      </c>
      <c r="K24" s="16">
        <v>96</v>
      </c>
      <c r="L24" s="13" t="s">
        <v>125</v>
      </c>
      <c r="M24" s="13"/>
      <c r="N24" s="13"/>
      <c r="O24" s="13" t="s">
        <v>70</v>
      </c>
      <c r="P24" s="14"/>
      <c r="Q24" s="347">
        <f t="shared" si="0"/>
        <v>0</v>
      </c>
      <c r="R24" s="15">
        <f t="shared" si="1"/>
        <v>0</v>
      </c>
      <c r="S24" s="167"/>
      <c r="T24" s="13"/>
      <c r="U24" s="14"/>
      <c r="V24" s="16"/>
      <c r="W24" s="13"/>
      <c r="X24" s="13"/>
      <c r="Y24" s="13"/>
      <c r="Z24" s="13"/>
      <c r="AA24" s="17"/>
    </row>
    <row r="25" spans="1:27" ht="24.75" customHeight="1" thickBot="1">
      <c r="A25" s="362" t="s">
        <v>39</v>
      </c>
      <c r="B25" s="169" t="s">
        <v>334</v>
      </c>
      <c r="C25" s="363">
        <v>120</v>
      </c>
      <c r="D25" s="364">
        <f t="shared" si="2"/>
        <v>4</v>
      </c>
      <c r="E25" s="172">
        <f t="shared" si="3"/>
        <v>120</v>
      </c>
      <c r="F25" s="184">
        <f t="shared" si="5"/>
        <v>0</v>
      </c>
      <c r="G25" s="367">
        <f t="shared" si="4"/>
        <v>0</v>
      </c>
      <c r="H25" s="176"/>
      <c r="I25" s="172"/>
      <c r="J25" s="173"/>
      <c r="K25" s="176"/>
      <c r="L25" s="172"/>
      <c r="M25" s="172"/>
      <c r="N25" s="172"/>
      <c r="O25" s="172"/>
      <c r="P25" s="173"/>
      <c r="Q25" s="366">
        <f t="shared" si="0"/>
        <v>120</v>
      </c>
      <c r="R25" s="118">
        <f t="shared" si="1"/>
        <v>60</v>
      </c>
      <c r="S25" s="176">
        <v>40</v>
      </c>
      <c r="T25" s="295"/>
      <c r="U25" s="178">
        <v>20</v>
      </c>
      <c r="V25" s="182">
        <v>60</v>
      </c>
      <c r="W25" s="172"/>
      <c r="X25" s="172"/>
      <c r="Y25" s="172"/>
      <c r="Z25" s="172"/>
      <c r="AA25" s="276" t="s">
        <v>67</v>
      </c>
    </row>
    <row r="26" spans="1:27" ht="24.75" customHeight="1" thickBot="1">
      <c r="A26" s="374" t="s">
        <v>40</v>
      </c>
      <c r="B26" s="375" t="s">
        <v>364</v>
      </c>
      <c r="C26" s="217">
        <v>150</v>
      </c>
      <c r="D26" s="218">
        <f t="shared" si="2"/>
        <v>5</v>
      </c>
      <c r="E26" s="219">
        <f t="shared" si="3"/>
        <v>150</v>
      </c>
      <c r="F26" s="227">
        <f t="shared" si="5"/>
        <v>150</v>
      </c>
      <c r="G26" s="379">
        <f t="shared" si="4"/>
        <v>54</v>
      </c>
      <c r="H26" s="218">
        <v>34</v>
      </c>
      <c r="I26" s="283"/>
      <c r="J26" s="457">
        <v>20</v>
      </c>
      <c r="K26" s="218">
        <v>96</v>
      </c>
      <c r="L26" s="283"/>
      <c r="M26" s="283">
        <v>0</v>
      </c>
      <c r="N26" s="283">
        <v>0</v>
      </c>
      <c r="O26" s="283">
        <v>0</v>
      </c>
      <c r="P26" s="457" t="s">
        <v>67</v>
      </c>
      <c r="Q26" s="376">
        <f>V26+W26+X26+Y26+R26</f>
        <v>0</v>
      </c>
      <c r="R26" s="221">
        <f t="shared" si="1"/>
        <v>0</v>
      </c>
      <c r="S26" s="218">
        <v>0</v>
      </c>
      <c r="T26" s="283">
        <f>SUM(T14:T25)</f>
        <v>0</v>
      </c>
      <c r="U26" s="457">
        <v>0</v>
      </c>
      <c r="V26" s="218">
        <v>0</v>
      </c>
      <c r="W26" s="283"/>
      <c r="X26" s="283">
        <v>0</v>
      </c>
      <c r="Y26" s="283">
        <v>0</v>
      </c>
      <c r="Z26" s="283"/>
      <c r="AA26" s="458"/>
    </row>
    <row r="27" spans="1:27" s="239" customFormat="1" ht="24.75" customHeight="1">
      <c r="A27" s="368" t="s">
        <v>41</v>
      </c>
      <c r="B27" s="369" t="s">
        <v>81</v>
      </c>
      <c r="C27" s="497">
        <v>270</v>
      </c>
      <c r="D27" s="415">
        <f t="shared" si="2"/>
        <v>9</v>
      </c>
      <c r="E27" s="110">
        <f t="shared" si="3"/>
        <v>270</v>
      </c>
      <c r="F27" s="114">
        <f t="shared" si="5"/>
        <v>270</v>
      </c>
      <c r="G27" s="417">
        <f t="shared" si="4"/>
        <v>180</v>
      </c>
      <c r="H27" s="373"/>
      <c r="I27" s="370"/>
      <c r="J27" s="371">
        <f>6*30</f>
        <v>180</v>
      </c>
      <c r="K27" s="373">
        <f>15*6</f>
        <v>90</v>
      </c>
      <c r="L27" s="370"/>
      <c r="M27" s="370"/>
      <c r="N27" s="370"/>
      <c r="O27" s="370"/>
      <c r="P27" s="371" t="s">
        <v>67</v>
      </c>
      <c r="Q27" s="504">
        <f>V27+X27+Y27+R27</f>
        <v>0</v>
      </c>
      <c r="R27" s="112">
        <f t="shared" si="1"/>
        <v>0</v>
      </c>
      <c r="S27" s="373"/>
      <c r="T27" s="370"/>
      <c r="U27" s="371"/>
      <c r="V27" s="373"/>
      <c r="W27" s="370"/>
      <c r="X27" s="370"/>
      <c r="Y27" s="370"/>
      <c r="Z27" s="370"/>
      <c r="AA27" s="249"/>
    </row>
    <row r="28" spans="1:27" s="239" customFormat="1" ht="24.75" customHeight="1">
      <c r="A28" s="336" t="s">
        <v>55</v>
      </c>
      <c r="B28" s="360" t="s">
        <v>82</v>
      </c>
      <c r="C28" s="460">
        <v>180</v>
      </c>
      <c r="D28" s="342">
        <f t="shared" si="2"/>
        <v>6</v>
      </c>
      <c r="E28" s="13">
        <f t="shared" si="3"/>
        <v>180</v>
      </c>
      <c r="F28" s="17">
        <f t="shared" si="5"/>
        <v>0</v>
      </c>
      <c r="G28" s="148">
        <f t="shared" si="4"/>
        <v>0</v>
      </c>
      <c r="H28" s="119"/>
      <c r="I28" s="120"/>
      <c r="J28" s="21"/>
      <c r="K28" s="119"/>
      <c r="L28" s="120"/>
      <c r="M28" s="120"/>
      <c r="N28" s="120"/>
      <c r="O28" s="120"/>
      <c r="P28" s="21"/>
      <c r="Q28" s="500">
        <f>V28+X28+Y28+R28</f>
        <v>180</v>
      </c>
      <c r="R28" s="15">
        <f t="shared" si="1"/>
        <v>120</v>
      </c>
      <c r="S28" s="119"/>
      <c r="T28" s="120"/>
      <c r="U28" s="21">
        <f>4*30</f>
        <v>120</v>
      </c>
      <c r="V28" s="119">
        <f>4*15</f>
        <v>60</v>
      </c>
      <c r="W28" s="120"/>
      <c r="X28" s="120"/>
      <c r="Y28" s="120"/>
      <c r="Z28" s="120"/>
      <c r="AA28" s="121" t="s">
        <v>67</v>
      </c>
    </row>
    <row r="29" spans="1:27" s="239" customFormat="1" ht="24.75" customHeight="1" thickBot="1">
      <c r="A29" s="337" t="s">
        <v>56</v>
      </c>
      <c r="B29" s="361" t="s">
        <v>172</v>
      </c>
      <c r="C29" s="461">
        <v>90</v>
      </c>
      <c r="D29" s="410">
        <f t="shared" si="2"/>
        <v>3</v>
      </c>
      <c r="E29" s="95">
        <f t="shared" si="3"/>
        <v>90</v>
      </c>
      <c r="F29" s="99">
        <f t="shared" si="5"/>
        <v>0</v>
      </c>
      <c r="G29" s="351">
        <f t="shared" si="4"/>
        <v>0</v>
      </c>
      <c r="H29" s="343"/>
      <c r="I29" s="344"/>
      <c r="J29" s="353"/>
      <c r="K29" s="343"/>
      <c r="L29" s="344"/>
      <c r="M29" s="344"/>
      <c r="N29" s="344"/>
      <c r="O29" s="344"/>
      <c r="P29" s="353"/>
      <c r="Q29" s="380">
        <f>V29+X29+Y29+R29</f>
        <v>90</v>
      </c>
      <c r="R29" s="97">
        <f t="shared" si="1"/>
        <v>60</v>
      </c>
      <c r="S29" s="343"/>
      <c r="T29" s="355"/>
      <c r="U29" s="356">
        <f>30*2</f>
        <v>60</v>
      </c>
      <c r="V29" s="357">
        <f>15*2</f>
        <v>30</v>
      </c>
      <c r="W29" s="344"/>
      <c r="X29" s="344"/>
      <c r="Y29" s="344"/>
      <c r="Z29" s="105"/>
      <c r="AA29" s="345"/>
    </row>
    <row r="30" spans="1:27" ht="24.75" customHeight="1" thickBot="1">
      <c r="A30" s="28"/>
      <c r="B30" s="241" t="s">
        <v>42</v>
      </c>
      <c r="C30" s="33">
        <f>SUM(C14:C29)</f>
        <v>2115</v>
      </c>
      <c r="D30" s="38">
        <f>SUM(D14:D29)</f>
        <v>67.5</v>
      </c>
      <c r="E30" s="31">
        <f>SUM(E14:E29)</f>
        <v>2025</v>
      </c>
      <c r="F30" s="32">
        <f>SUM(F14:F29)</f>
        <v>960</v>
      </c>
      <c r="G30" s="33">
        <f>SUM(G14:G26)</f>
        <v>268</v>
      </c>
      <c r="H30" s="38">
        <f>SUM(H14:H29)</f>
        <v>158</v>
      </c>
      <c r="I30" s="31">
        <f>SUM(I14:I29)</f>
        <v>0</v>
      </c>
      <c r="J30" s="31">
        <f>SUM(J14:J29)</f>
        <v>290</v>
      </c>
      <c r="K30" s="31">
        <f>SUM(K14:K29)</f>
        <v>512</v>
      </c>
      <c r="L30" s="31">
        <v>1</v>
      </c>
      <c r="M30" s="31">
        <f>SUM(M14:M29)</f>
        <v>0</v>
      </c>
      <c r="N30" s="31">
        <f>SUM(N14:N29)</f>
        <v>0</v>
      </c>
      <c r="O30" s="31">
        <v>3</v>
      </c>
      <c r="P30" s="32">
        <v>4</v>
      </c>
      <c r="Q30" s="33">
        <f>SUM(Q14:Q29)</f>
        <v>1065</v>
      </c>
      <c r="R30" s="37">
        <f>SUM(R14:R26)</f>
        <v>420</v>
      </c>
      <c r="S30" s="38">
        <f>SUM(S14:S29)</f>
        <v>220</v>
      </c>
      <c r="T30" s="31">
        <f>SUM(T14:T29)</f>
        <v>0</v>
      </c>
      <c r="U30" s="31">
        <f>SUM(U14:U29)</f>
        <v>380</v>
      </c>
      <c r="V30" s="31">
        <f>SUM(V14:V29)</f>
        <v>465</v>
      </c>
      <c r="W30" s="31">
        <v>0</v>
      </c>
      <c r="X30" s="31"/>
      <c r="Y30" s="31"/>
      <c r="Z30" s="31">
        <v>3</v>
      </c>
      <c r="AA30" s="142">
        <v>4</v>
      </c>
    </row>
    <row r="31" spans="1:27" ht="24.75" customHeight="1" thickBot="1">
      <c r="A31" s="589"/>
      <c r="B31" s="384" t="s">
        <v>43</v>
      </c>
      <c r="C31" s="46"/>
      <c r="D31" s="387"/>
      <c r="E31" s="47"/>
      <c r="F31" s="388"/>
      <c r="G31" s="389">
        <f>G30/J10</f>
        <v>29.77777777777778</v>
      </c>
      <c r="H31" s="46"/>
      <c r="I31" s="47"/>
      <c r="J31" s="47"/>
      <c r="K31" s="47"/>
      <c r="L31" s="47"/>
      <c r="M31" s="47"/>
      <c r="N31" s="47"/>
      <c r="O31" s="48"/>
      <c r="P31" s="49"/>
      <c r="Q31" s="388"/>
      <c r="R31" s="390">
        <f>SUM(R14:R26)/U10</f>
        <v>28</v>
      </c>
      <c r="S31" s="391"/>
      <c r="T31" s="47"/>
      <c r="U31" s="47"/>
      <c r="V31" s="47"/>
      <c r="W31" s="47"/>
      <c r="X31" s="47"/>
      <c r="Y31" s="47"/>
      <c r="Z31" s="48"/>
      <c r="AA31" s="49"/>
    </row>
    <row r="32" spans="1:27" ht="24.75" customHeight="1" thickBot="1">
      <c r="A32" s="590"/>
      <c r="B32" s="385" t="s">
        <v>44</v>
      </c>
      <c r="C32" s="57"/>
      <c r="D32" s="54"/>
      <c r="E32" s="43"/>
      <c r="F32" s="55"/>
      <c r="G32" s="56"/>
      <c r="H32" s="57"/>
      <c r="I32" s="43"/>
      <c r="J32" s="43"/>
      <c r="K32" s="43"/>
      <c r="L32" s="43"/>
      <c r="M32" s="43"/>
      <c r="N32" s="58"/>
      <c r="O32" s="39">
        <v>3</v>
      </c>
      <c r="P32" s="59"/>
      <c r="Q32" s="60"/>
      <c r="R32" s="61"/>
      <c r="S32" s="62"/>
      <c r="T32" s="62"/>
      <c r="U32" s="62"/>
      <c r="V32" s="62"/>
      <c r="W32" s="62"/>
      <c r="X32" s="62"/>
      <c r="Y32" s="58"/>
      <c r="Z32" s="39">
        <v>3</v>
      </c>
      <c r="AA32" s="144"/>
    </row>
    <row r="33" spans="1:27" ht="24.75" customHeight="1" thickBot="1">
      <c r="A33" s="590"/>
      <c r="B33" s="385" t="s">
        <v>45</v>
      </c>
      <c r="C33" s="57"/>
      <c r="D33" s="54"/>
      <c r="E33" s="43"/>
      <c r="F33" s="55"/>
      <c r="G33" s="58"/>
      <c r="H33" s="57"/>
      <c r="I33" s="43"/>
      <c r="J33" s="43"/>
      <c r="K33" s="43"/>
      <c r="L33" s="63"/>
      <c r="M33" s="43"/>
      <c r="N33" s="62"/>
      <c r="O33" s="56"/>
      <c r="P33" s="39">
        <v>5</v>
      </c>
      <c r="Q33" s="60"/>
      <c r="R33" s="62"/>
      <c r="S33" s="62"/>
      <c r="T33" s="62"/>
      <c r="U33" s="62"/>
      <c r="V33" s="62"/>
      <c r="W33" s="64"/>
      <c r="X33" s="62"/>
      <c r="Y33" s="62"/>
      <c r="Z33" s="56"/>
      <c r="AA33" s="39">
        <v>5</v>
      </c>
    </row>
    <row r="34" spans="1:27" ht="24.75" customHeight="1" thickBot="1">
      <c r="A34" s="590"/>
      <c r="B34" s="386" t="s">
        <v>46</v>
      </c>
      <c r="C34" s="68"/>
      <c r="D34" s="70"/>
      <c r="E34" s="69"/>
      <c r="F34" s="71"/>
      <c r="G34" s="70"/>
      <c r="H34" s="68"/>
      <c r="I34" s="69"/>
      <c r="J34" s="69"/>
      <c r="K34" s="70"/>
      <c r="L34" s="39">
        <v>1</v>
      </c>
      <c r="M34" s="71"/>
      <c r="N34" s="72"/>
      <c r="O34" s="72"/>
      <c r="P34" s="73"/>
      <c r="Q34" s="392"/>
      <c r="R34" s="72"/>
      <c r="S34" s="72"/>
      <c r="T34" s="72"/>
      <c r="U34" s="72"/>
      <c r="V34" s="393"/>
      <c r="W34" s="39">
        <v>0</v>
      </c>
      <c r="X34" s="71"/>
      <c r="Y34" s="69"/>
      <c r="Z34" s="72"/>
      <c r="AA34" s="73"/>
    </row>
    <row r="35" spans="1:27" ht="24.75" customHeight="1" thickBot="1">
      <c r="A35" s="591"/>
      <c r="B35" s="137" t="s">
        <v>47</v>
      </c>
      <c r="C35" s="77">
        <f>SUM(C31:C34)</f>
        <v>0</v>
      </c>
      <c r="D35" s="77">
        <f aca="true" t="shared" si="6" ref="D35:AA35">SUM(D31:D34)</f>
        <v>0</v>
      </c>
      <c r="E35" s="77">
        <f t="shared" si="6"/>
        <v>0</v>
      </c>
      <c r="F35" s="77">
        <f t="shared" si="6"/>
        <v>0</v>
      </c>
      <c r="G35" s="78">
        <f>SUM(G31:G34)</f>
        <v>29.77777777777778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2">
        <f t="shared" si="6"/>
        <v>0</v>
      </c>
      <c r="L35" s="39">
        <f t="shared" si="6"/>
        <v>1</v>
      </c>
      <c r="M35" s="38">
        <f t="shared" si="6"/>
        <v>0</v>
      </c>
      <c r="N35" s="31">
        <f t="shared" si="6"/>
        <v>0</v>
      </c>
      <c r="O35" s="31">
        <f t="shared" si="6"/>
        <v>3</v>
      </c>
      <c r="P35" s="31">
        <f t="shared" si="6"/>
        <v>5</v>
      </c>
      <c r="Q35" s="77">
        <f t="shared" si="6"/>
        <v>0</v>
      </c>
      <c r="R35" s="78">
        <f t="shared" si="6"/>
        <v>28</v>
      </c>
      <c r="S35" s="77">
        <f t="shared" si="6"/>
        <v>0</v>
      </c>
      <c r="T35" s="77">
        <f t="shared" si="6"/>
        <v>0</v>
      </c>
      <c r="U35" s="77">
        <f t="shared" si="6"/>
        <v>0</v>
      </c>
      <c r="V35" s="79">
        <f t="shared" si="6"/>
        <v>0</v>
      </c>
      <c r="W35" s="39">
        <f t="shared" si="6"/>
        <v>0</v>
      </c>
      <c r="X35" s="243">
        <f t="shared" si="6"/>
        <v>0</v>
      </c>
      <c r="Y35" s="77">
        <f t="shared" si="6"/>
        <v>0</v>
      </c>
      <c r="Z35" s="77">
        <f>SUM(Z31:Z34)</f>
        <v>3</v>
      </c>
      <c r="AA35" s="146">
        <f t="shared" si="6"/>
        <v>5</v>
      </c>
    </row>
    <row r="36" spans="1:27" ht="24.75" customHeight="1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6.25">
      <c r="A39" s="1"/>
      <c r="B39" s="82" t="s">
        <v>60</v>
      </c>
      <c r="C39" s="82"/>
      <c r="D39" s="82"/>
      <c r="E39" s="82"/>
      <c r="F39" s="82"/>
      <c r="G39" s="82"/>
      <c r="H39" s="82"/>
      <c r="I39" s="82"/>
      <c r="J39" s="82"/>
      <c r="K39" s="82" t="s">
        <v>59</v>
      </c>
      <c r="L39" s="82"/>
      <c r="M39" s="82"/>
      <c r="N39" s="82"/>
      <c r="O39" s="82"/>
      <c r="P39" s="82"/>
      <c r="Q39" s="82"/>
      <c r="R39" s="83"/>
      <c r="S39" s="83"/>
      <c r="T39" s="84"/>
      <c r="U39" s="85"/>
      <c r="V39" s="85"/>
      <c r="W39" s="85"/>
      <c r="X39" s="85"/>
      <c r="Y39" s="86"/>
      <c r="Z39" s="86"/>
      <c r="AA39" s="86"/>
    </row>
    <row r="40" spans="1:27" ht="26.25">
      <c r="A40" s="87"/>
      <c r="B40" s="592"/>
      <c r="C40" s="592"/>
      <c r="D40" s="592"/>
      <c r="E40" s="592"/>
      <c r="F40" s="592"/>
      <c r="G40" s="592"/>
      <c r="H40" s="592"/>
      <c r="I40" s="592"/>
      <c r="J40" s="592"/>
      <c r="K40" s="87"/>
      <c r="L40" s="87"/>
      <c r="M40" s="87"/>
      <c r="N40" s="87"/>
      <c r="O40" s="87"/>
      <c r="P40" s="87"/>
      <c r="Q40" s="87"/>
      <c r="R40" s="87" t="s">
        <v>48</v>
      </c>
      <c r="S40" s="89"/>
      <c r="T40" s="90" t="s">
        <v>49</v>
      </c>
      <c r="U40" s="91" t="s">
        <v>50</v>
      </c>
      <c r="V40" s="91"/>
      <c r="W40" s="91"/>
      <c r="X40" s="90"/>
      <c r="Y40" s="90"/>
      <c r="Z40" s="92"/>
      <c r="AA40" s="92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/>
      <c r="L41" s="82"/>
      <c r="M41" s="82"/>
      <c r="N41" s="82"/>
      <c r="O41" s="82"/>
      <c r="P41" s="82"/>
      <c r="Q41" s="82"/>
      <c r="R41" s="82"/>
      <c r="S41" s="82"/>
      <c r="T41" s="84"/>
      <c r="U41" s="84"/>
      <c r="V41" s="84"/>
      <c r="W41" s="84"/>
      <c r="X41" s="93"/>
      <c r="Y41" s="93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 t="s">
        <v>51</v>
      </c>
      <c r="L42" s="82"/>
      <c r="M42" s="82"/>
      <c r="N42" s="82"/>
      <c r="O42" s="82"/>
      <c r="P42" s="82"/>
      <c r="Q42" s="82"/>
      <c r="R42" s="83"/>
      <c r="S42" s="83"/>
      <c r="T42" s="84"/>
      <c r="U42" s="85"/>
      <c r="V42" s="85"/>
      <c r="W42" s="85"/>
      <c r="X42" s="85"/>
      <c r="Y42" s="86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7"/>
      <c r="L43" s="87"/>
      <c r="M43" s="87"/>
      <c r="N43" s="87"/>
      <c r="O43" s="87"/>
      <c r="P43" s="87"/>
      <c r="Q43" s="87"/>
      <c r="R43" s="87" t="s">
        <v>48</v>
      </c>
      <c r="S43" s="89"/>
      <c r="T43" s="90" t="s">
        <v>52</v>
      </c>
      <c r="U43" s="91" t="s">
        <v>50</v>
      </c>
      <c r="V43" s="91"/>
      <c r="W43" s="91"/>
      <c r="X43" s="90"/>
      <c r="Y43" s="90"/>
      <c r="Z43" s="94"/>
      <c r="AA43" s="94"/>
    </row>
  </sheetData>
  <sheetProtection/>
  <mergeCells count="42">
    <mergeCell ref="A31:A35"/>
    <mergeCell ref="B40:J40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tabSelected="1" zoomScale="70" zoomScaleNormal="70" zoomScalePageLayoutView="0" workbookViewId="0" topLeftCell="A10">
      <selection activeCell="A20" sqref="A20:IV20"/>
    </sheetView>
  </sheetViews>
  <sheetFormatPr defaultColWidth="9.140625" defaultRowHeight="15"/>
  <cols>
    <col min="2" max="2" width="6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61.5" customHeight="1">
      <c r="A5" s="1" t="s">
        <v>5</v>
      </c>
      <c r="B5" s="1"/>
      <c r="C5" s="559" t="s">
        <v>203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556" t="s">
        <v>335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204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0">F14+Q14</f>
        <v>78</v>
      </c>
      <c r="F14" s="11">
        <f aca="true" t="shared" si="1" ref="F14:F30">G14+K14+N14+M14</f>
        <v>34</v>
      </c>
      <c r="G14" s="259">
        <f>H14+I14+J14+K14+M14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0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301">
        <f>H15+I15+J15+K15+M15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3" ref="Q15:Q30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301">
        <f aca="true" t="shared" si="4" ref="G16:G26">H16+I16+J16+K16+M16</f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3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301">
        <f t="shared" si="4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3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301">
        <f t="shared" si="4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3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301">
        <f t="shared" si="4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3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232</v>
      </c>
      <c r="D20" s="12">
        <v>0</v>
      </c>
      <c r="E20" s="120">
        <f t="shared" si="0"/>
        <v>112</v>
      </c>
      <c r="F20" s="17">
        <f t="shared" si="1"/>
        <v>68</v>
      </c>
      <c r="G20" s="301">
        <f t="shared" si="4"/>
        <v>68</v>
      </c>
      <c r="H20" s="119">
        <f>4*17</f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3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t="shared" si="1"/>
        <v>50</v>
      </c>
      <c r="G21" s="301">
        <f t="shared" si="4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3"/>
        <v>66</v>
      </c>
      <c r="R21" s="15">
        <f t="shared" si="2"/>
        <v>66</v>
      </c>
      <c r="S21" s="16"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1"/>
        <v>34</v>
      </c>
      <c r="G22" s="301">
        <f t="shared" si="4"/>
        <v>34</v>
      </c>
      <c r="H22" s="16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3"/>
        <v>66</v>
      </c>
      <c r="R22" s="15">
        <f>S22+T22+U22</f>
        <v>66</v>
      </c>
      <c r="S22" s="16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1"/>
        <v>68</v>
      </c>
      <c r="G23" s="301">
        <f t="shared" si="4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3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1"/>
        <v>34</v>
      </c>
      <c r="G24" s="301">
        <f t="shared" si="4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3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1"/>
        <v>34</v>
      </c>
      <c r="G25" s="301">
        <f t="shared" si="4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3"/>
        <v>88</v>
      </c>
      <c r="R25" s="15">
        <f>S25+T25+U25</f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112</v>
      </c>
      <c r="D26" s="291">
        <v>0</v>
      </c>
      <c r="E26" s="95">
        <f t="shared" si="0"/>
        <v>112</v>
      </c>
      <c r="F26" s="99">
        <f t="shared" si="1"/>
        <v>68</v>
      </c>
      <c r="G26" s="302">
        <f t="shared" si="4"/>
        <v>68</v>
      </c>
      <c r="H26" s="98">
        <f>4*17</f>
        <v>68</v>
      </c>
      <c r="I26" s="95"/>
      <c r="J26" s="96"/>
      <c r="K26" s="98"/>
      <c r="L26" s="95"/>
      <c r="M26" s="95"/>
      <c r="N26" s="95"/>
      <c r="O26" s="95"/>
      <c r="P26" s="96"/>
      <c r="Q26" s="165">
        <f t="shared" si="3"/>
        <v>44</v>
      </c>
      <c r="R26" s="97">
        <f>S26+T26+U26</f>
        <v>44</v>
      </c>
      <c r="S26" s="98">
        <f>2*22</f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158">
        <v>60</v>
      </c>
      <c r="D27" s="6">
        <f>E27/30</f>
        <v>2</v>
      </c>
      <c r="E27" s="7">
        <f t="shared" si="0"/>
        <v>60</v>
      </c>
      <c r="F27" s="11">
        <f t="shared" si="1"/>
        <v>60</v>
      </c>
      <c r="G27" s="417">
        <f>H27+I27+J27+M27</f>
        <v>34</v>
      </c>
      <c r="H27" s="10">
        <v>18</v>
      </c>
      <c r="I27" s="7"/>
      <c r="J27" s="8">
        <v>16</v>
      </c>
      <c r="K27" s="10">
        <v>26</v>
      </c>
      <c r="L27" s="7"/>
      <c r="M27" s="7"/>
      <c r="N27" s="7"/>
      <c r="O27" s="7"/>
      <c r="P27" s="8" t="s">
        <v>88</v>
      </c>
      <c r="Q27" s="163">
        <f t="shared" si="3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151</v>
      </c>
      <c r="C28" s="159">
        <v>60</v>
      </c>
      <c r="D28" s="12">
        <f>E28/30</f>
        <v>2</v>
      </c>
      <c r="E28" s="13">
        <f t="shared" si="0"/>
        <v>60</v>
      </c>
      <c r="F28" s="17">
        <f t="shared" si="1"/>
        <v>60</v>
      </c>
      <c r="G28" s="417">
        <f>H28+I28+J28+M28</f>
        <v>34</v>
      </c>
      <c r="H28" s="16">
        <v>18</v>
      </c>
      <c r="I28" s="13"/>
      <c r="J28" s="14">
        <v>16</v>
      </c>
      <c r="K28" s="16">
        <v>26</v>
      </c>
      <c r="L28" s="13"/>
      <c r="M28" s="13"/>
      <c r="N28" s="13"/>
      <c r="O28" s="13"/>
      <c r="P28" s="14" t="s">
        <v>91</v>
      </c>
      <c r="Q28" s="164">
        <f t="shared" si="3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234" t="s">
        <v>56</v>
      </c>
      <c r="B29" s="156" t="s">
        <v>117</v>
      </c>
      <c r="C29" s="159">
        <v>120</v>
      </c>
      <c r="D29" s="12">
        <f>E29/30</f>
        <v>4</v>
      </c>
      <c r="E29" s="13">
        <f t="shared" si="0"/>
        <v>120</v>
      </c>
      <c r="F29" s="17">
        <f t="shared" si="1"/>
        <v>50</v>
      </c>
      <c r="G29" s="417">
        <f>H29+I29+J29+M29</f>
        <v>34</v>
      </c>
      <c r="H29" s="16">
        <v>18</v>
      </c>
      <c r="I29" s="13"/>
      <c r="J29" s="14">
        <v>16</v>
      </c>
      <c r="K29" s="16">
        <v>16</v>
      </c>
      <c r="L29" s="13"/>
      <c r="M29" s="13"/>
      <c r="N29" s="13"/>
      <c r="O29" s="13"/>
      <c r="P29" s="14" t="s">
        <v>91</v>
      </c>
      <c r="Q29" s="164">
        <f t="shared" si="3"/>
        <v>70</v>
      </c>
      <c r="R29" s="15">
        <f t="shared" si="2"/>
        <v>44</v>
      </c>
      <c r="S29" s="16">
        <v>22</v>
      </c>
      <c r="T29" s="166"/>
      <c r="U29" s="298">
        <v>22</v>
      </c>
      <c r="V29" s="20">
        <f>42-16</f>
        <v>26</v>
      </c>
      <c r="W29" s="13"/>
      <c r="X29" s="13"/>
      <c r="Y29" s="13"/>
      <c r="Z29" s="13"/>
      <c r="AA29" s="121" t="s">
        <v>67</v>
      </c>
    </row>
    <row r="30" spans="1:27" ht="21" thickBot="1">
      <c r="A30" s="186" t="s">
        <v>57</v>
      </c>
      <c r="B30" s="157" t="s">
        <v>152</v>
      </c>
      <c r="C30" s="292">
        <v>75</v>
      </c>
      <c r="D30" s="291">
        <f>E30/30</f>
        <v>2.5</v>
      </c>
      <c r="E30" s="95">
        <f t="shared" si="0"/>
        <v>75</v>
      </c>
      <c r="F30" s="99">
        <f t="shared" si="1"/>
        <v>0</v>
      </c>
      <c r="G30" s="417">
        <f>H30+I30+J30+M30</f>
        <v>0</v>
      </c>
      <c r="H30" s="98"/>
      <c r="I30" s="95"/>
      <c r="J30" s="96"/>
      <c r="K30" s="98"/>
      <c r="L30" s="95"/>
      <c r="M30" s="95"/>
      <c r="N30" s="95"/>
      <c r="O30" s="95"/>
      <c r="P30" s="96"/>
      <c r="Q30" s="165">
        <f t="shared" si="3"/>
        <v>75</v>
      </c>
      <c r="R30" s="97">
        <f t="shared" si="2"/>
        <v>44</v>
      </c>
      <c r="S30" s="98">
        <v>22</v>
      </c>
      <c r="T30" s="250"/>
      <c r="U30" s="300">
        <v>22</v>
      </c>
      <c r="V30" s="162">
        <v>31</v>
      </c>
      <c r="W30" s="95"/>
      <c r="X30" s="95"/>
      <c r="Y30" s="95"/>
      <c r="Z30" s="95"/>
      <c r="AA30" s="107" t="s">
        <v>67</v>
      </c>
    </row>
    <row r="31" spans="1:27" ht="21" thickBot="1">
      <c r="A31" s="240"/>
      <c r="B31" s="241" t="s">
        <v>42</v>
      </c>
      <c r="C31" s="242">
        <f aca="true" t="shared" si="5" ref="C31:N31">SUM(C14:C30)</f>
        <v>2111</v>
      </c>
      <c r="D31" s="242">
        <f t="shared" si="5"/>
        <v>10.5</v>
      </c>
      <c r="E31" s="242">
        <f t="shared" si="5"/>
        <v>1489</v>
      </c>
      <c r="F31" s="242">
        <f t="shared" si="5"/>
        <v>662</v>
      </c>
      <c r="G31" s="242">
        <f>SUM(G14:G30)</f>
        <v>594</v>
      </c>
      <c r="H31" s="242">
        <f t="shared" si="5"/>
        <v>520</v>
      </c>
      <c r="I31" s="242">
        <f t="shared" si="5"/>
        <v>10</v>
      </c>
      <c r="J31" s="242">
        <f t="shared" si="5"/>
        <v>64</v>
      </c>
      <c r="K31" s="242">
        <f t="shared" si="5"/>
        <v>68</v>
      </c>
      <c r="L31" s="242">
        <f t="shared" si="5"/>
        <v>0</v>
      </c>
      <c r="M31" s="242">
        <f t="shared" si="5"/>
        <v>0</v>
      </c>
      <c r="N31" s="242">
        <f t="shared" si="5"/>
        <v>0</v>
      </c>
      <c r="O31" s="242">
        <v>0</v>
      </c>
      <c r="P31" s="242">
        <v>3</v>
      </c>
      <c r="Q31" s="39">
        <f aca="true" t="shared" si="6" ref="Q31:Y31">SUM(Q14:Q30)</f>
        <v>827</v>
      </c>
      <c r="R31" s="39">
        <f>SUM(R14:R30)</f>
        <v>770</v>
      </c>
      <c r="S31" s="39">
        <f t="shared" si="6"/>
        <v>706</v>
      </c>
      <c r="T31" s="39">
        <f t="shared" si="6"/>
        <v>10</v>
      </c>
      <c r="U31" s="39">
        <f t="shared" si="6"/>
        <v>54</v>
      </c>
      <c r="V31" s="39">
        <f t="shared" si="6"/>
        <v>57</v>
      </c>
      <c r="W31" s="39">
        <f t="shared" si="6"/>
        <v>0</v>
      </c>
      <c r="X31" s="39">
        <f t="shared" si="6"/>
        <v>0</v>
      </c>
      <c r="Y31" s="39">
        <f t="shared" si="6"/>
        <v>0</v>
      </c>
      <c r="Z31" s="39">
        <v>0</v>
      </c>
      <c r="AA31" s="39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34.94117647058823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39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7" ref="D36:AA36">SUM(D32:D35)</f>
        <v>0</v>
      </c>
      <c r="E36" s="77">
        <f t="shared" si="7"/>
        <v>0</v>
      </c>
      <c r="F36" s="79">
        <f t="shared" si="7"/>
        <v>0</v>
      </c>
      <c r="G36" s="390">
        <f>SUM(G32:G35)</f>
        <v>34.94117647058823</v>
      </c>
      <c r="H36" s="38">
        <f t="shared" si="7"/>
        <v>0</v>
      </c>
      <c r="I36" s="31">
        <f t="shared" si="7"/>
        <v>0</v>
      </c>
      <c r="J36" s="31">
        <f t="shared" si="7"/>
        <v>0</v>
      </c>
      <c r="K36" s="32">
        <f t="shared" si="7"/>
        <v>0</v>
      </c>
      <c r="L36" s="39">
        <f t="shared" si="7"/>
        <v>0</v>
      </c>
      <c r="M36" s="38">
        <f t="shared" si="7"/>
        <v>0</v>
      </c>
      <c r="N36" s="31">
        <f t="shared" si="7"/>
        <v>0</v>
      </c>
      <c r="O36" s="31">
        <f t="shared" si="7"/>
        <v>0</v>
      </c>
      <c r="P36" s="31">
        <f t="shared" si="7"/>
        <v>3</v>
      </c>
      <c r="Q36" s="79">
        <f t="shared" si="7"/>
        <v>0</v>
      </c>
      <c r="R36" s="390">
        <f t="shared" si="7"/>
        <v>35</v>
      </c>
      <c r="S36" s="243">
        <f t="shared" si="7"/>
        <v>0</v>
      </c>
      <c r="T36" s="77">
        <f t="shared" si="7"/>
        <v>0</v>
      </c>
      <c r="U36" s="77">
        <f t="shared" si="7"/>
        <v>0</v>
      </c>
      <c r="V36" s="77">
        <f t="shared" si="7"/>
        <v>0</v>
      </c>
      <c r="W36" s="77">
        <f t="shared" si="7"/>
        <v>0</v>
      </c>
      <c r="X36" s="77">
        <f t="shared" si="7"/>
        <v>0</v>
      </c>
      <c r="Y36" s="77">
        <f t="shared" si="7"/>
        <v>0</v>
      </c>
      <c r="Z36" s="77">
        <f t="shared" si="7"/>
        <v>0</v>
      </c>
      <c r="AA36" s="146">
        <f t="shared" si="7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40" zoomScaleNormal="40" zoomScalePageLayoutView="0" workbookViewId="0" topLeftCell="A7">
      <selection activeCell="V14" sqref="V14:V27"/>
    </sheetView>
  </sheetViews>
  <sheetFormatPr defaultColWidth="9.140625" defaultRowHeight="15"/>
  <cols>
    <col min="2" max="2" width="71.57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161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192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156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53</v>
      </c>
      <c r="G10" s="573"/>
      <c r="H10" s="573"/>
      <c r="I10" s="573"/>
      <c r="J10" s="140">
        <v>9</v>
      </c>
      <c r="K10" s="573" t="s">
        <v>12</v>
      </c>
      <c r="L10" s="573"/>
      <c r="M10" s="573"/>
      <c r="N10" s="573"/>
      <c r="O10" s="573"/>
      <c r="P10" s="574"/>
      <c r="Q10" s="572" t="s">
        <v>54</v>
      </c>
      <c r="R10" s="573"/>
      <c r="S10" s="573"/>
      <c r="T10" s="574"/>
      <c r="U10" s="140">
        <v>15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s="239" customFormat="1" ht="20.25">
      <c r="A14" s="422" t="s">
        <v>28</v>
      </c>
      <c r="B14" s="334" t="s">
        <v>131</v>
      </c>
      <c r="C14" s="383">
        <v>180</v>
      </c>
      <c r="D14" s="423">
        <f>E14/30</f>
        <v>2.5</v>
      </c>
      <c r="E14" s="424">
        <f aca="true" t="shared" si="0" ref="E14:E30">F14+Q14</f>
        <v>75</v>
      </c>
      <c r="F14" s="425">
        <f>G14+K14+N14+M14</f>
        <v>75</v>
      </c>
      <c r="G14" s="426">
        <f>H14+I14+J14</f>
        <v>18</v>
      </c>
      <c r="H14" s="427"/>
      <c r="I14" s="424"/>
      <c r="J14" s="425">
        <v>18</v>
      </c>
      <c r="K14" s="427">
        <f>100-15-28</f>
        <v>57</v>
      </c>
      <c r="L14" s="424"/>
      <c r="M14" s="424"/>
      <c r="N14" s="424"/>
      <c r="O14" s="424" t="s">
        <v>69</v>
      </c>
      <c r="P14" s="425"/>
      <c r="Q14" s="428">
        <f aca="true" t="shared" si="1" ref="Q14:Q25">V14+X14+Y14+R14</f>
        <v>0</v>
      </c>
      <c r="R14" s="426">
        <f aca="true" t="shared" si="2" ref="R14:R30">S14+T14+U14</f>
        <v>0</v>
      </c>
      <c r="S14" s="427"/>
      <c r="T14" s="424"/>
      <c r="U14" s="425"/>
      <c r="V14" s="427"/>
      <c r="W14" s="424"/>
      <c r="X14" s="424"/>
      <c r="Y14" s="424"/>
      <c r="Z14" s="424"/>
      <c r="AA14" s="322"/>
    </row>
    <row r="15" spans="1:27" s="239" customFormat="1" ht="20.25">
      <c r="A15" s="336" t="s">
        <v>29</v>
      </c>
      <c r="B15" s="323" t="s">
        <v>193</v>
      </c>
      <c r="C15" s="235">
        <v>90</v>
      </c>
      <c r="D15" s="236">
        <f aca="true" t="shared" si="3" ref="D15:D29">E15/30</f>
        <v>3</v>
      </c>
      <c r="E15" s="120">
        <f t="shared" si="0"/>
        <v>90</v>
      </c>
      <c r="F15" s="21">
        <f>G15+K15+N15+M15</f>
        <v>0</v>
      </c>
      <c r="G15" s="237">
        <f aca="true" t="shared" si="4" ref="G15:G30">H15+I15+J15</f>
        <v>0</v>
      </c>
      <c r="H15" s="119"/>
      <c r="I15" s="120"/>
      <c r="J15" s="21"/>
      <c r="K15" s="119"/>
      <c r="L15" s="120"/>
      <c r="M15" s="120"/>
      <c r="N15" s="120"/>
      <c r="O15" s="120"/>
      <c r="P15" s="21"/>
      <c r="Q15" s="238">
        <f t="shared" si="1"/>
        <v>90</v>
      </c>
      <c r="R15" s="237">
        <f t="shared" si="2"/>
        <v>30</v>
      </c>
      <c r="S15" s="119">
        <v>18</v>
      </c>
      <c r="T15" s="120"/>
      <c r="U15" s="21">
        <v>12</v>
      </c>
      <c r="V15" s="119">
        <v>60</v>
      </c>
      <c r="W15" s="120"/>
      <c r="X15" s="120"/>
      <c r="Y15" s="120"/>
      <c r="Z15" s="120"/>
      <c r="AA15" s="121" t="s">
        <v>67</v>
      </c>
    </row>
    <row r="16" spans="1:27" ht="20.25">
      <c r="A16" s="326" t="s">
        <v>30</v>
      </c>
      <c r="B16" s="323" t="s">
        <v>180</v>
      </c>
      <c r="C16" s="159">
        <v>60</v>
      </c>
      <c r="D16" s="12">
        <f t="shared" si="3"/>
        <v>2</v>
      </c>
      <c r="E16" s="13">
        <f t="shared" si="0"/>
        <v>60</v>
      </c>
      <c r="F16" s="14">
        <f aca="true" t="shared" si="5" ref="F16:F28">G16+K16+N16+M16</f>
        <v>60</v>
      </c>
      <c r="G16" s="15">
        <f t="shared" si="4"/>
        <v>36</v>
      </c>
      <c r="H16" s="16">
        <v>18</v>
      </c>
      <c r="I16" s="13"/>
      <c r="J16" s="14">
        <v>18</v>
      </c>
      <c r="K16" s="16">
        <v>24</v>
      </c>
      <c r="L16" s="13"/>
      <c r="M16" s="13"/>
      <c r="N16" s="13"/>
      <c r="O16" s="13"/>
      <c r="P16" s="14" t="s">
        <v>67</v>
      </c>
      <c r="Q16" s="164">
        <f t="shared" si="1"/>
        <v>0</v>
      </c>
      <c r="R16" s="15">
        <f t="shared" si="2"/>
        <v>0</v>
      </c>
      <c r="S16" s="16"/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326" t="s">
        <v>31</v>
      </c>
      <c r="B17" s="323" t="s">
        <v>163</v>
      </c>
      <c r="C17" s="159">
        <v>90</v>
      </c>
      <c r="D17" s="12">
        <f t="shared" si="3"/>
        <v>3</v>
      </c>
      <c r="E17" s="13">
        <f t="shared" si="0"/>
        <v>90</v>
      </c>
      <c r="F17" s="14">
        <f t="shared" si="5"/>
        <v>90</v>
      </c>
      <c r="G17" s="15">
        <f t="shared" si="4"/>
        <v>46</v>
      </c>
      <c r="H17" s="16">
        <v>28</v>
      </c>
      <c r="I17" s="13"/>
      <c r="J17" s="14">
        <v>18</v>
      </c>
      <c r="K17" s="16">
        <v>44</v>
      </c>
      <c r="L17" s="13"/>
      <c r="M17" s="13"/>
      <c r="N17" s="13"/>
      <c r="O17" s="13" t="s">
        <v>70</v>
      </c>
      <c r="P17" s="14"/>
      <c r="Q17" s="164">
        <f t="shared" si="1"/>
        <v>0</v>
      </c>
      <c r="R17" s="15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0.25">
      <c r="A18" s="326" t="s">
        <v>32</v>
      </c>
      <c r="B18" s="323" t="s">
        <v>181</v>
      </c>
      <c r="C18" s="159">
        <v>90</v>
      </c>
      <c r="D18" s="12">
        <f t="shared" si="3"/>
        <v>3</v>
      </c>
      <c r="E18" s="13">
        <f t="shared" si="0"/>
        <v>90</v>
      </c>
      <c r="F18" s="14">
        <f t="shared" si="5"/>
        <v>90</v>
      </c>
      <c r="G18" s="15">
        <f t="shared" si="4"/>
        <v>46</v>
      </c>
      <c r="H18" s="16">
        <v>28</v>
      </c>
      <c r="I18" s="13"/>
      <c r="J18" s="14">
        <v>18</v>
      </c>
      <c r="K18" s="16">
        <v>44</v>
      </c>
      <c r="L18" s="13"/>
      <c r="M18" s="13"/>
      <c r="N18" s="13"/>
      <c r="O18" s="13"/>
      <c r="P18" s="14" t="s">
        <v>67</v>
      </c>
      <c r="Q18" s="164">
        <f t="shared" si="1"/>
        <v>0</v>
      </c>
      <c r="R18" s="15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40.5">
      <c r="A19" s="326" t="s">
        <v>33</v>
      </c>
      <c r="B19" s="323" t="s">
        <v>194</v>
      </c>
      <c r="C19" s="159">
        <v>180</v>
      </c>
      <c r="D19" s="12">
        <f t="shared" si="3"/>
        <v>6</v>
      </c>
      <c r="E19" s="13">
        <f t="shared" si="0"/>
        <v>180</v>
      </c>
      <c r="F19" s="14">
        <f t="shared" si="5"/>
        <v>0</v>
      </c>
      <c r="G19" s="15">
        <f t="shared" si="4"/>
        <v>0</v>
      </c>
      <c r="H19" s="16"/>
      <c r="I19" s="13"/>
      <c r="J19" s="14"/>
      <c r="K19" s="16"/>
      <c r="L19" s="13"/>
      <c r="M19" s="13"/>
      <c r="N19" s="13"/>
      <c r="O19" s="13"/>
      <c r="P19" s="14"/>
      <c r="Q19" s="164">
        <f t="shared" si="1"/>
        <v>180</v>
      </c>
      <c r="R19" s="15">
        <f t="shared" si="2"/>
        <v>60</v>
      </c>
      <c r="S19" s="16">
        <v>30</v>
      </c>
      <c r="T19" s="13"/>
      <c r="U19" s="14">
        <v>30</v>
      </c>
      <c r="V19" s="16">
        <v>120</v>
      </c>
      <c r="W19" s="13"/>
      <c r="X19" s="13"/>
      <c r="Y19" s="13"/>
      <c r="Z19" s="13" t="s">
        <v>70</v>
      </c>
      <c r="AA19" s="17"/>
    </row>
    <row r="20" spans="1:27" ht="20.25">
      <c r="A20" s="326" t="s">
        <v>34</v>
      </c>
      <c r="B20" s="323" t="s">
        <v>167</v>
      </c>
      <c r="C20" s="159">
        <v>120</v>
      </c>
      <c r="D20" s="12">
        <f t="shared" si="3"/>
        <v>4</v>
      </c>
      <c r="E20" s="13">
        <f t="shared" si="0"/>
        <v>120</v>
      </c>
      <c r="F20" s="14">
        <f t="shared" si="5"/>
        <v>0</v>
      </c>
      <c r="G20" s="15">
        <f t="shared" si="4"/>
        <v>0</v>
      </c>
      <c r="H20" s="16"/>
      <c r="I20" s="13"/>
      <c r="J20" s="14"/>
      <c r="K20" s="16"/>
      <c r="L20" s="13"/>
      <c r="M20" s="13"/>
      <c r="N20" s="13"/>
      <c r="O20" s="13"/>
      <c r="P20" s="14"/>
      <c r="Q20" s="164">
        <f t="shared" si="1"/>
        <v>120</v>
      </c>
      <c r="R20" s="15">
        <f t="shared" si="2"/>
        <v>60</v>
      </c>
      <c r="S20" s="16">
        <v>30</v>
      </c>
      <c r="T20" s="13"/>
      <c r="U20" s="14">
        <v>30</v>
      </c>
      <c r="V20" s="16">
        <v>60</v>
      </c>
      <c r="W20" s="13"/>
      <c r="X20" s="13"/>
      <c r="Y20" s="13"/>
      <c r="Z20" s="13" t="s">
        <v>70</v>
      </c>
      <c r="AA20" s="17"/>
    </row>
    <row r="21" spans="1:27" ht="20.25">
      <c r="A21" s="326" t="s">
        <v>35</v>
      </c>
      <c r="B21" s="323" t="s">
        <v>195</v>
      </c>
      <c r="C21" s="159">
        <v>60</v>
      </c>
      <c r="D21" s="12">
        <f t="shared" si="3"/>
        <v>2</v>
      </c>
      <c r="E21" s="13">
        <f t="shared" si="0"/>
        <v>60</v>
      </c>
      <c r="F21" s="14">
        <f t="shared" si="5"/>
        <v>0</v>
      </c>
      <c r="G21" s="15">
        <f t="shared" si="4"/>
        <v>0</v>
      </c>
      <c r="H21" s="16"/>
      <c r="I21" s="13"/>
      <c r="J21" s="14"/>
      <c r="K21" s="16"/>
      <c r="L21" s="13"/>
      <c r="M21" s="13"/>
      <c r="N21" s="13"/>
      <c r="O21" s="13"/>
      <c r="P21" s="14"/>
      <c r="Q21" s="164">
        <f t="shared" si="1"/>
        <v>60</v>
      </c>
      <c r="R21" s="15">
        <f t="shared" si="2"/>
        <v>30</v>
      </c>
      <c r="S21" s="16">
        <v>20</v>
      </c>
      <c r="T21" s="13"/>
      <c r="U21" s="14">
        <v>10</v>
      </c>
      <c r="V21" s="16">
        <v>30</v>
      </c>
      <c r="W21" s="13"/>
      <c r="X21" s="13"/>
      <c r="Y21" s="13"/>
      <c r="Z21" s="13"/>
      <c r="AA21" s="17" t="s">
        <v>67</v>
      </c>
    </row>
    <row r="22" spans="1:27" ht="20.25">
      <c r="A22" s="326" t="s">
        <v>36</v>
      </c>
      <c r="B22" s="324" t="s">
        <v>196</v>
      </c>
      <c r="C22" s="159">
        <v>120</v>
      </c>
      <c r="D22" s="12">
        <f t="shared" si="3"/>
        <v>4</v>
      </c>
      <c r="E22" s="13">
        <f t="shared" si="0"/>
        <v>120</v>
      </c>
      <c r="F22" s="14">
        <f t="shared" si="5"/>
        <v>120</v>
      </c>
      <c r="G22" s="15">
        <f t="shared" si="4"/>
        <v>46</v>
      </c>
      <c r="H22" s="160">
        <v>28</v>
      </c>
      <c r="I22" s="13"/>
      <c r="J22" s="14">
        <v>18</v>
      </c>
      <c r="K22" s="16">
        <v>74</v>
      </c>
      <c r="L22" s="13" t="s">
        <v>125</v>
      </c>
      <c r="M22" s="13"/>
      <c r="N22" s="13"/>
      <c r="O22" s="13" t="s">
        <v>70</v>
      </c>
      <c r="P22" s="14"/>
      <c r="Q22" s="164">
        <f t="shared" si="1"/>
        <v>0</v>
      </c>
      <c r="R22" s="15">
        <f t="shared" si="2"/>
        <v>0</v>
      </c>
      <c r="S22" s="167"/>
      <c r="T22" s="13"/>
      <c r="U22" s="14"/>
      <c r="V22" s="16"/>
      <c r="W22" s="13"/>
      <c r="X22" s="13"/>
      <c r="Y22" s="13"/>
      <c r="Z22" s="13"/>
      <c r="AA22" s="17"/>
    </row>
    <row r="23" spans="1:27" ht="40.5">
      <c r="A23" s="326" t="s">
        <v>37</v>
      </c>
      <c r="B23" s="429" t="s">
        <v>168</v>
      </c>
      <c r="C23" s="159">
        <v>120</v>
      </c>
      <c r="D23" s="12">
        <f t="shared" si="3"/>
        <v>4</v>
      </c>
      <c r="E23" s="13">
        <f t="shared" si="0"/>
        <v>120</v>
      </c>
      <c r="F23" s="14">
        <f t="shared" si="5"/>
        <v>0</v>
      </c>
      <c r="G23" s="15">
        <f t="shared" si="4"/>
        <v>0</v>
      </c>
      <c r="H23" s="16"/>
      <c r="I23" s="13"/>
      <c r="J23" s="14"/>
      <c r="K23" s="16"/>
      <c r="L23" s="13"/>
      <c r="M23" s="13"/>
      <c r="N23" s="13"/>
      <c r="O23" s="13"/>
      <c r="P23" s="14"/>
      <c r="Q23" s="164">
        <f t="shared" si="1"/>
        <v>120</v>
      </c>
      <c r="R23" s="15">
        <f t="shared" si="2"/>
        <v>60</v>
      </c>
      <c r="S23" s="16">
        <v>30</v>
      </c>
      <c r="T23" s="166"/>
      <c r="U23" s="19">
        <v>30</v>
      </c>
      <c r="V23" s="20">
        <v>60</v>
      </c>
      <c r="W23" s="13"/>
      <c r="X23" s="13"/>
      <c r="Y23" s="13"/>
      <c r="Z23" s="13" t="s">
        <v>70</v>
      </c>
      <c r="AA23" s="121"/>
    </row>
    <row r="24" spans="1:27" ht="20.25">
      <c r="A24" s="326" t="s">
        <v>38</v>
      </c>
      <c r="B24" s="325" t="s">
        <v>169</v>
      </c>
      <c r="C24" s="159">
        <v>120</v>
      </c>
      <c r="D24" s="12">
        <f t="shared" si="3"/>
        <v>4</v>
      </c>
      <c r="E24" s="13">
        <f t="shared" si="0"/>
        <v>120</v>
      </c>
      <c r="F24" s="14">
        <f t="shared" si="5"/>
        <v>0</v>
      </c>
      <c r="G24" s="15">
        <f t="shared" si="4"/>
        <v>0</v>
      </c>
      <c r="H24" s="16"/>
      <c r="I24" s="13"/>
      <c r="J24" s="14"/>
      <c r="K24" s="16"/>
      <c r="L24" s="13"/>
      <c r="M24" s="13"/>
      <c r="N24" s="13"/>
      <c r="O24" s="13"/>
      <c r="P24" s="14"/>
      <c r="Q24" s="164">
        <f t="shared" si="1"/>
        <v>120</v>
      </c>
      <c r="R24" s="15">
        <f t="shared" si="2"/>
        <v>60</v>
      </c>
      <c r="S24" s="16">
        <v>30</v>
      </c>
      <c r="T24" s="166"/>
      <c r="U24" s="19">
        <v>30</v>
      </c>
      <c r="V24" s="20">
        <v>60</v>
      </c>
      <c r="W24" s="13"/>
      <c r="X24" s="13"/>
      <c r="Y24" s="13"/>
      <c r="Z24" s="13"/>
      <c r="AA24" s="121" t="s">
        <v>67</v>
      </c>
    </row>
    <row r="25" spans="1:27" ht="21" thickBot="1">
      <c r="A25" s="326" t="s">
        <v>39</v>
      </c>
      <c r="B25" s="325" t="s">
        <v>164</v>
      </c>
      <c r="C25" s="159">
        <v>105</v>
      </c>
      <c r="D25" s="12">
        <f t="shared" si="3"/>
        <v>3.5</v>
      </c>
      <c r="E25" s="13">
        <f t="shared" si="0"/>
        <v>105</v>
      </c>
      <c r="F25" s="14">
        <f t="shared" si="5"/>
        <v>0</v>
      </c>
      <c r="G25" s="15">
        <f t="shared" si="4"/>
        <v>0</v>
      </c>
      <c r="H25" s="16"/>
      <c r="I25" s="13"/>
      <c r="J25" s="14"/>
      <c r="K25" s="16"/>
      <c r="L25" s="13"/>
      <c r="M25" s="13"/>
      <c r="N25" s="13"/>
      <c r="O25" s="13"/>
      <c r="P25" s="14"/>
      <c r="Q25" s="164">
        <f t="shared" si="1"/>
        <v>105</v>
      </c>
      <c r="R25" s="15">
        <f t="shared" si="2"/>
        <v>60</v>
      </c>
      <c r="S25" s="16">
        <v>40</v>
      </c>
      <c r="T25" s="166"/>
      <c r="U25" s="19">
        <v>20</v>
      </c>
      <c r="V25" s="20">
        <v>45</v>
      </c>
      <c r="W25" s="13"/>
      <c r="X25" s="13"/>
      <c r="Y25" s="13"/>
      <c r="Z25" s="13"/>
      <c r="AA25" s="121" t="s">
        <v>67</v>
      </c>
    </row>
    <row r="26" spans="1:27" ht="20.25">
      <c r="A26" s="187" t="s">
        <v>40</v>
      </c>
      <c r="B26" s="327" t="s">
        <v>197</v>
      </c>
      <c r="C26" s="189">
        <v>150</v>
      </c>
      <c r="D26" s="190">
        <f t="shared" si="3"/>
        <v>5</v>
      </c>
      <c r="E26" s="191">
        <f t="shared" si="0"/>
        <v>150</v>
      </c>
      <c r="F26" s="192">
        <f t="shared" si="5"/>
        <v>150</v>
      </c>
      <c r="G26" s="193">
        <f t="shared" si="4"/>
        <v>54</v>
      </c>
      <c r="H26" s="194">
        <v>34</v>
      </c>
      <c r="I26" s="191"/>
      <c r="J26" s="192">
        <v>20</v>
      </c>
      <c r="K26" s="194">
        <v>96</v>
      </c>
      <c r="L26" s="191"/>
      <c r="M26" s="191"/>
      <c r="N26" s="191"/>
      <c r="O26" s="191"/>
      <c r="P26" s="192" t="s">
        <v>67</v>
      </c>
      <c r="Q26" s="195">
        <f>V26+W26+X26+Y26+R26</f>
        <v>0</v>
      </c>
      <c r="R26" s="193">
        <f t="shared" si="2"/>
        <v>0</v>
      </c>
      <c r="S26" s="194"/>
      <c r="T26" s="196"/>
      <c r="U26" s="197"/>
      <c r="V26" s="198"/>
      <c r="W26" s="191"/>
      <c r="X26" s="191"/>
      <c r="Y26" s="191"/>
      <c r="Z26" s="191"/>
      <c r="AA26" s="199"/>
    </row>
    <row r="27" spans="1:27" ht="21" thickBot="1">
      <c r="A27" s="200" t="s">
        <v>41</v>
      </c>
      <c r="B27" s="328" t="s">
        <v>198</v>
      </c>
      <c r="C27" s="202">
        <v>150</v>
      </c>
      <c r="D27" s="203">
        <f t="shared" si="3"/>
        <v>5</v>
      </c>
      <c r="E27" s="204">
        <f t="shared" si="0"/>
        <v>150</v>
      </c>
      <c r="F27" s="205">
        <f t="shared" si="5"/>
        <v>0</v>
      </c>
      <c r="G27" s="206">
        <f t="shared" si="4"/>
        <v>0</v>
      </c>
      <c r="H27" s="207"/>
      <c r="I27" s="204"/>
      <c r="J27" s="205"/>
      <c r="K27" s="207"/>
      <c r="L27" s="204"/>
      <c r="M27" s="204"/>
      <c r="N27" s="204"/>
      <c r="O27" s="204"/>
      <c r="P27" s="205"/>
      <c r="Q27" s="208">
        <f>V27+X27+Y27+R27</f>
        <v>150</v>
      </c>
      <c r="R27" s="206">
        <f t="shared" si="2"/>
        <v>60</v>
      </c>
      <c r="S27" s="207">
        <v>40</v>
      </c>
      <c r="T27" s="204"/>
      <c r="U27" s="205">
        <v>20</v>
      </c>
      <c r="V27" s="207">
        <v>90</v>
      </c>
      <c r="W27" s="204"/>
      <c r="X27" s="204"/>
      <c r="Y27" s="204"/>
      <c r="Z27" s="204"/>
      <c r="AA27" s="209" t="s">
        <v>67</v>
      </c>
    </row>
    <row r="28" spans="1:27" ht="20.25">
      <c r="A28" s="101" t="s">
        <v>55</v>
      </c>
      <c r="B28" s="116" t="s">
        <v>81</v>
      </c>
      <c r="C28" s="108">
        <v>270</v>
      </c>
      <c r="D28" s="109">
        <f>E28/30</f>
        <v>9</v>
      </c>
      <c r="E28" s="110">
        <f>F28+Q28</f>
        <v>270</v>
      </c>
      <c r="F28" s="111">
        <f t="shared" si="5"/>
        <v>270</v>
      </c>
      <c r="G28" s="112">
        <f>H28+I28+J28</f>
        <v>180</v>
      </c>
      <c r="H28" s="113"/>
      <c r="I28" s="110"/>
      <c r="J28" s="114">
        <f>6*30</f>
        <v>180</v>
      </c>
      <c r="K28" s="174">
        <f>6*15</f>
        <v>90</v>
      </c>
      <c r="L28" s="110"/>
      <c r="M28" s="110"/>
      <c r="N28" s="110"/>
      <c r="O28" s="110"/>
      <c r="P28" s="114" t="s">
        <v>67</v>
      </c>
      <c r="Q28" s="115">
        <f>V28+X28+Y28+R28</f>
        <v>0</v>
      </c>
      <c r="R28" s="112">
        <f t="shared" si="2"/>
        <v>0</v>
      </c>
      <c r="S28" s="113"/>
      <c r="T28" s="110"/>
      <c r="U28" s="111"/>
      <c r="V28" s="113"/>
      <c r="W28" s="110"/>
      <c r="X28" s="110"/>
      <c r="Y28" s="110"/>
      <c r="Z28" s="110"/>
      <c r="AA28" s="114"/>
    </row>
    <row r="29" spans="1:27" ht="21" thickBot="1">
      <c r="A29" s="101" t="s">
        <v>56</v>
      </c>
      <c r="B29" s="104" t="s">
        <v>82</v>
      </c>
      <c r="C29" s="117">
        <v>180</v>
      </c>
      <c r="D29" s="22">
        <f t="shared" si="3"/>
        <v>6</v>
      </c>
      <c r="E29" s="23">
        <f t="shared" si="0"/>
        <v>180</v>
      </c>
      <c r="F29" s="24">
        <f>G29+K29+L29+N29</f>
        <v>0</v>
      </c>
      <c r="G29" s="118">
        <f t="shared" si="4"/>
        <v>0</v>
      </c>
      <c r="H29" s="106"/>
      <c r="I29" s="105"/>
      <c r="J29" s="107"/>
      <c r="K29" s="175"/>
      <c r="L29" s="120"/>
      <c r="M29" s="120"/>
      <c r="N29" s="120"/>
      <c r="O29" s="120"/>
      <c r="P29" s="121"/>
      <c r="Q29" s="25">
        <f>V29+W29+X29+Y29+R29</f>
        <v>180</v>
      </c>
      <c r="R29" s="118">
        <f t="shared" si="2"/>
        <v>120</v>
      </c>
      <c r="S29" s="119"/>
      <c r="T29" s="122"/>
      <c r="U29" s="123">
        <f>30*4</f>
        <v>120</v>
      </c>
      <c r="V29" s="124">
        <f>4*15</f>
        <v>60</v>
      </c>
      <c r="W29" s="120"/>
      <c r="X29" s="120"/>
      <c r="Y29" s="120"/>
      <c r="Z29" s="120"/>
      <c r="AA29" s="121" t="s">
        <v>67</v>
      </c>
    </row>
    <row r="30" spans="1:27" ht="24.75" customHeight="1" thickBot="1">
      <c r="A30" s="125" t="s">
        <v>57</v>
      </c>
      <c r="B30" s="185" t="s">
        <v>172</v>
      </c>
      <c r="C30" s="431">
        <v>90</v>
      </c>
      <c r="D30" s="430">
        <f>E30/30</f>
        <v>3</v>
      </c>
      <c r="E30" s="127">
        <f t="shared" si="0"/>
        <v>90</v>
      </c>
      <c r="F30" s="128">
        <f>G30+K30+N30+M30</f>
        <v>0</v>
      </c>
      <c r="G30" s="135">
        <f t="shared" si="4"/>
        <v>0</v>
      </c>
      <c r="H30" s="179"/>
      <c r="I30" s="180"/>
      <c r="J30" s="181"/>
      <c r="K30" s="130"/>
      <c r="L30" s="127"/>
      <c r="M30" s="127"/>
      <c r="N30" s="127"/>
      <c r="O30" s="127"/>
      <c r="P30" s="131"/>
      <c r="Q30" s="132">
        <f>V30+X30+Y30+R30</f>
        <v>90</v>
      </c>
      <c r="R30" s="135">
        <f t="shared" si="2"/>
        <v>60</v>
      </c>
      <c r="S30" s="130"/>
      <c r="T30" s="133"/>
      <c r="U30" s="210">
        <f>60</f>
        <v>60</v>
      </c>
      <c r="V30" s="134">
        <v>30</v>
      </c>
      <c r="W30" s="127"/>
      <c r="X30" s="127"/>
      <c r="Y30" s="127"/>
      <c r="Z30" s="211"/>
      <c r="AA30" s="131"/>
    </row>
    <row r="31" spans="1:27" ht="24.75" customHeight="1" thickBot="1">
      <c r="A31" s="28"/>
      <c r="B31" s="29" t="s">
        <v>42</v>
      </c>
      <c r="C31" s="30">
        <f>SUM(C14:C30)</f>
        <v>2175</v>
      </c>
      <c r="D31" s="31">
        <f>SUM(D14:D30)</f>
        <v>69</v>
      </c>
      <c r="E31" s="31">
        <f>SUM(E14:E30)</f>
        <v>2070</v>
      </c>
      <c r="F31" s="32">
        <f>SUM(F14:F30)</f>
        <v>855</v>
      </c>
      <c r="G31" s="33">
        <f>SUM(G14:G27)</f>
        <v>246</v>
      </c>
      <c r="H31" s="34">
        <f>SUM(H14:H30)</f>
        <v>136</v>
      </c>
      <c r="I31" s="35">
        <f>SUM(I14:I30)</f>
        <v>0</v>
      </c>
      <c r="J31" s="35">
        <f>SUM(J14:J30)</f>
        <v>290</v>
      </c>
      <c r="K31" s="35">
        <f>SUM(K14:K30)</f>
        <v>429</v>
      </c>
      <c r="L31" s="35">
        <v>1</v>
      </c>
      <c r="M31" s="35">
        <f>SUM(M14:M30)</f>
        <v>0</v>
      </c>
      <c r="N31" s="35">
        <f>SUM(N14:N30)</f>
        <v>0</v>
      </c>
      <c r="O31" s="35">
        <v>3</v>
      </c>
      <c r="P31" s="36">
        <v>3</v>
      </c>
      <c r="Q31" s="33">
        <f>SUM(Q14:Q30)</f>
        <v>1215</v>
      </c>
      <c r="R31" s="37">
        <f>SUM(R14:R27)</f>
        <v>420</v>
      </c>
      <c r="S31" s="38">
        <f>SUM(S14:S30)</f>
        <v>238</v>
      </c>
      <c r="T31" s="31">
        <f>SUM(T14:T30)</f>
        <v>0</v>
      </c>
      <c r="U31" s="31">
        <f>SUM(U14:U30)</f>
        <v>362</v>
      </c>
      <c r="V31" s="31">
        <f>SUM(V14:V30)</f>
        <v>615</v>
      </c>
      <c r="W31" s="31">
        <v>0</v>
      </c>
      <c r="X31" s="31">
        <f>SUM(X14:X30)</f>
        <v>0</v>
      </c>
      <c r="Y31" s="31">
        <f>SUM(Y14:Y30)</f>
        <v>0</v>
      </c>
      <c r="Z31" s="31">
        <v>3</v>
      </c>
      <c r="AA31" s="142">
        <v>5</v>
      </c>
    </row>
    <row r="32" spans="1:27" ht="24.75" customHeight="1" thickBot="1">
      <c r="A32" s="589"/>
      <c r="B32" s="40" t="s">
        <v>43</v>
      </c>
      <c r="C32" s="41"/>
      <c r="D32" s="42"/>
      <c r="E32" s="43"/>
      <c r="F32" s="44"/>
      <c r="G32" s="45">
        <f>G31/J10</f>
        <v>27.333333333333332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SUM(R14:R27)/U10</f>
        <v>28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4.75" customHeight="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3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3</v>
      </c>
      <c r="AA33" s="144"/>
    </row>
    <row r="34" spans="1:27" ht="24.75" customHeight="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4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6</v>
      </c>
    </row>
    <row r="35" spans="1:27" ht="24.75" customHeight="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v>1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76">
        <v>0</v>
      </c>
      <c r="X35" s="67"/>
      <c r="Y35" s="63"/>
      <c r="Z35" s="64"/>
      <c r="AA35" s="145"/>
    </row>
    <row r="36" spans="1:27" ht="24.75" customHeight="1" thickBot="1">
      <c r="A36" s="591"/>
      <c r="B36" s="137" t="s">
        <v>47</v>
      </c>
      <c r="C36" s="77">
        <f>SUM(C32:C35)</f>
        <v>0</v>
      </c>
      <c r="D36" s="77">
        <f aca="true" t="shared" si="6" ref="D36:AA36">SUM(D32:D35)</f>
        <v>0</v>
      </c>
      <c r="E36" s="77">
        <f t="shared" si="6"/>
        <v>0</v>
      </c>
      <c r="F36" s="77">
        <f t="shared" si="6"/>
        <v>0</v>
      </c>
      <c r="G36" s="78">
        <f>SUM(G32:G35)</f>
        <v>27.333333333333332</v>
      </c>
      <c r="H36" s="31">
        <f t="shared" si="6"/>
        <v>0</v>
      </c>
      <c r="I36" s="31">
        <f t="shared" si="6"/>
        <v>0</v>
      </c>
      <c r="J36" s="31">
        <f t="shared" si="6"/>
        <v>0</v>
      </c>
      <c r="K36" s="32">
        <f t="shared" si="6"/>
        <v>0</v>
      </c>
      <c r="L36" s="39">
        <f t="shared" si="6"/>
        <v>1</v>
      </c>
      <c r="M36" s="38">
        <f t="shared" si="6"/>
        <v>0</v>
      </c>
      <c r="N36" s="31">
        <f t="shared" si="6"/>
        <v>0</v>
      </c>
      <c r="O36" s="31">
        <f t="shared" si="6"/>
        <v>3</v>
      </c>
      <c r="P36" s="31">
        <f t="shared" si="6"/>
        <v>4</v>
      </c>
      <c r="Q36" s="77">
        <f t="shared" si="6"/>
        <v>0</v>
      </c>
      <c r="R36" s="78">
        <f t="shared" si="6"/>
        <v>28</v>
      </c>
      <c r="S36" s="77">
        <f t="shared" si="6"/>
        <v>0</v>
      </c>
      <c r="T36" s="77">
        <f t="shared" si="6"/>
        <v>0</v>
      </c>
      <c r="U36" s="77">
        <f t="shared" si="6"/>
        <v>0</v>
      </c>
      <c r="V36" s="77">
        <f t="shared" si="6"/>
        <v>0</v>
      </c>
      <c r="W36" s="77">
        <f t="shared" si="6"/>
        <v>0</v>
      </c>
      <c r="X36" s="77">
        <f t="shared" si="6"/>
        <v>0</v>
      </c>
      <c r="Y36" s="77">
        <f t="shared" si="6"/>
        <v>0</v>
      </c>
      <c r="Z36" s="77">
        <f>SUM(Z32:Z35)</f>
        <v>3</v>
      </c>
      <c r="AA36" s="146">
        <f t="shared" si="6"/>
        <v>6</v>
      </c>
    </row>
    <row r="37" spans="1:27" ht="24.75" customHeight="1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36"/>
  <sheetViews>
    <sheetView zoomScale="57" zoomScaleNormal="57" zoomScalePageLayoutView="0" workbookViewId="0" topLeftCell="A1">
      <selection activeCell="AA36" sqref="A1:AA36"/>
    </sheetView>
  </sheetViews>
  <sheetFormatPr defaultColWidth="9.140625" defaultRowHeight="15"/>
  <cols>
    <col min="2" max="2" width="64.8515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120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119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5" t="s">
        <v>9</v>
      </c>
      <c r="D10" s="566" t="s">
        <v>10</v>
      </c>
      <c r="E10" s="594" t="s">
        <v>11</v>
      </c>
      <c r="F10" s="596" t="s">
        <v>121</v>
      </c>
      <c r="G10" s="597"/>
      <c r="H10" s="597"/>
      <c r="I10" s="597"/>
      <c r="J10" s="262">
        <v>9</v>
      </c>
      <c r="K10" s="597" t="s">
        <v>12</v>
      </c>
      <c r="L10" s="597"/>
      <c r="M10" s="597"/>
      <c r="N10" s="597"/>
      <c r="O10" s="597"/>
      <c r="P10" s="598"/>
      <c r="Q10" s="572" t="s">
        <v>122</v>
      </c>
      <c r="R10" s="573"/>
      <c r="S10" s="573"/>
      <c r="T10" s="574"/>
      <c r="U10" s="140">
        <v>5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5"/>
      <c r="D13" s="564"/>
      <c r="E13" s="595"/>
      <c r="F13" s="606"/>
      <c r="G13" s="599"/>
      <c r="H13" s="263" t="s">
        <v>25</v>
      </c>
      <c r="I13" s="264" t="s">
        <v>26</v>
      </c>
      <c r="J13" s="265" t="s">
        <v>27</v>
      </c>
      <c r="K13" s="602"/>
      <c r="L13" s="603"/>
      <c r="M13" s="603"/>
      <c r="N13" s="603"/>
      <c r="O13" s="604"/>
      <c r="P13" s="605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1" thickBot="1">
      <c r="A14" s="100" t="s">
        <v>28</v>
      </c>
      <c r="B14" s="153" t="s">
        <v>123</v>
      </c>
      <c r="C14" s="260">
        <v>45</v>
      </c>
      <c r="D14" s="109">
        <f aca="true" t="shared" si="0" ref="D14:D22">E14/30</f>
        <v>1.5</v>
      </c>
      <c r="E14" s="110">
        <f>F14+Q14</f>
        <v>45</v>
      </c>
      <c r="F14" s="111">
        <f>G14+K14+N14+M14</f>
        <v>45</v>
      </c>
      <c r="G14" s="261">
        <f>H14+I14+J14</f>
        <v>28</v>
      </c>
      <c r="H14" s="113">
        <v>18</v>
      </c>
      <c r="I14" s="110"/>
      <c r="J14" s="111">
        <v>10</v>
      </c>
      <c r="K14" s="113">
        <v>17</v>
      </c>
      <c r="L14" s="110"/>
      <c r="M14" s="110"/>
      <c r="N14" s="110"/>
      <c r="O14" s="110"/>
      <c r="P14" s="111" t="s">
        <v>67</v>
      </c>
      <c r="Q14" s="163">
        <f aca="true" t="shared" si="1" ref="Q14:Q22">V14+X14+Y14+R14</f>
        <v>0</v>
      </c>
      <c r="R14" s="9">
        <f>S14+T14+U14</f>
        <v>0</v>
      </c>
      <c r="S14" s="10"/>
      <c r="T14" s="7"/>
      <c r="U14" s="8"/>
      <c r="V14" s="10"/>
      <c r="W14" s="7"/>
      <c r="X14" s="7"/>
      <c r="Y14" s="7"/>
      <c r="Z14" s="7"/>
      <c r="AA14" s="11"/>
    </row>
    <row r="15" spans="1:27" ht="21" thickBot="1">
      <c r="A15" s="138" t="s">
        <v>29</v>
      </c>
      <c r="B15" s="154" t="s">
        <v>124</v>
      </c>
      <c r="C15" s="254">
        <v>60</v>
      </c>
      <c r="D15" s="109">
        <f t="shared" si="0"/>
        <v>2</v>
      </c>
      <c r="E15" s="13">
        <f aca="true" t="shared" si="2" ref="E15:E22">F15+Q15</f>
        <v>60</v>
      </c>
      <c r="F15" s="111">
        <f aca="true" t="shared" si="3" ref="F15:F22">G15+K15+N15+M15</f>
        <v>60</v>
      </c>
      <c r="G15" s="259">
        <f aca="true" t="shared" si="4" ref="G15:G22">H15+I15+J15</f>
        <v>36</v>
      </c>
      <c r="H15" s="16">
        <v>20</v>
      </c>
      <c r="I15" s="13"/>
      <c r="J15" s="14">
        <v>16</v>
      </c>
      <c r="K15" s="16">
        <v>24</v>
      </c>
      <c r="L15" s="13"/>
      <c r="M15" s="13"/>
      <c r="N15" s="13"/>
      <c r="O15" s="13"/>
      <c r="P15" s="14" t="s">
        <v>67</v>
      </c>
      <c r="Q15" s="164">
        <f t="shared" si="1"/>
        <v>0</v>
      </c>
      <c r="R15" s="9">
        <f aca="true" t="shared" si="5" ref="R15:R22">S15+T15+U15</f>
        <v>0</v>
      </c>
      <c r="S15" s="16"/>
      <c r="T15" s="13"/>
      <c r="U15" s="14"/>
      <c r="V15" s="16"/>
      <c r="W15" s="13"/>
      <c r="X15" s="13"/>
      <c r="Y15" s="13"/>
      <c r="Z15" s="13"/>
      <c r="AA15" s="17"/>
    </row>
    <row r="16" spans="1:27" ht="21" thickBot="1">
      <c r="A16" s="138" t="s">
        <v>30</v>
      </c>
      <c r="B16" s="154" t="s">
        <v>98</v>
      </c>
      <c r="C16" s="254">
        <v>270</v>
      </c>
      <c r="D16" s="109">
        <f t="shared" si="0"/>
        <v>2.5</v>
      </c>
      <c r="E16" s="13">
        <f t="shared" si="2"/>
        <v>75</v>
      </c>
      <c r="F16" s="111">
        <f t="shared" si="3"/>
        <v>75</v>
      </c>
      <c r="G16" s="259">
        <f t="shared" si="4"/>
        <v>36</v>
      </c>
      <c r="H16" s="16">
        <f>88-40-38</f>
        <v>10</v>
      </c>
      <c r="I16" s="13"/>
      <c r="J16" s="14">
        <f>76-50</f>
        <v>26</v>
      </c>
      <c r="K16" s="16">
        <f>106-67</f>
        <v>39</v>
      </c>
      <c r="L16" s="13" t="s">
        <v>125</v>
      </c>
      <c r="M16" s="13"/>
      <c r="N16" s="13"/>
      <c r="O16" s="13" t="s">
        <v>69</v>
      </c>
      <c r="P16" s="14"/>
      <c r="Q16" s="164">
        <f t="shared" si="1"/>
        <v>0</v>
      </c>
      <c r="R16" s="9">
        <f t="shared" si="5"/>
        <v>0</v>
      </c>
      <c r="S16" s="16"/>
      <c r="T16" s="13"/>
      <c r="U16" s="14"/>
      <c r="V16" s="16"/>
      <c r="W16" s="13"/>
      <c r="X16" s="13"/>
      <c r="Y16" s="13"/>
      <c r="Z16" s="13"/>
      <c r="AA16" s="17"/>
    </row>
    <row r="17" spans="1:27" s="239" customFormat="1" ht="21" thickBot="1">
      <c r="A17" s="234" t="s">
        <v>31</v>
      </c>
      <c r="B17" s="154" t="s">
        <v>77</v>
      </c>
      <c r="C17" s="255">
        <v>90</v>
      </c>
      <c r="D17" s="109">
        <f t="shared" si="0"/>
        <v>3</v>
      </c>
      <c r="E17" s="120">
        <f t="shared" si="2"/>
        <v>90</v>
      </c>
      <c r="F17" s="111">
        <f t="shared" si="3"/>
        <v>90</v>
      </c>
      <c r="G17" s="259">
        <f t="shared" si="4"/>
        <v>54</v>
      </c>
      <c r="H17" s="119">
        <v>34</v>
      </c>
      <c r="I17" s="120"/>
      <c r="J17" s="21">
        <v>20</v>
      </c>
      <c r="K17" s="119">
        <v>36</v>
      </c>
      <c r="L17" s="120"/>
      <c r="M17" s="120"/>
      <c r="N17" s="120"/>
      <c r="O17" s="120" t="s">
        <v>70</v>
      </c>
      <c r="P17" s="21"/>
      <c r="Q17" s="238">
        <f t="shared" si="1"/>
        <v>0</v>
      </c>
      <c r="R17" s="9">
        <f t="shared" si="5"/>
        <v>0</v>
      </c>
      <c r="S17" s="119"/>
      <c r="T17" s="120"/>
      <c r="U17" s="21"/>
      <c r="V17" s="119"/>
      <c r="W17" s="120"/>
      <c r="X17" s="120"/>
      <c r="Y17" s="120"/>
      <c r="Z17" s="120"/>
      <c r="AA17" s="121"/>
    </row>
    <row r="18" spans="1:27" s="239" customFormat="1" ht="21" thickBot="1">
      <c r="A18" s="270" t="s">
        <v>32</v>
      </c>
      <c r="B18" s="266" t="s">
        <v>126</v>
      </c>
      <c r="C18" s="271">
        <v>90</v>
      </c>
      <c r="D18" s="268">
        <f t="shared" si="0"/>
        <v>3</v>
      </c>
      <c r="E18" s="23">
        <f t="shared" si="2"/>
        <v>90</v>
      </c>
      <c r="F18" s="269">
        <f t="shared" si="3"/>
        <v>90</v>
      </c>
      <c r="G18" s="272">
        <f t="shared" si="4"/>
        <v>54</v>
      </c>
      <c r="H18" s="273">
        <v>36</v>
      </c>
      <c r="I18" s="23"/>
      <c r="J18" s="24">
        <v>18</v>
      </c>
      <c r="K18" s="273">
        <v>36</v>
      </c>
      <c r="L18" s="23"/>
      <c r="M18" s="23"/>
      <c r="N18" s="23"/>
      <c r="O18" s="23" t="s">
        <v>70</v>
      </c>
      <c r="P18" s="24"/>
      <c r="Q18" s="274">
        <f t="shared" si="1"/>
        <v>0</v>
      </c>
      <c r="R18" s="275">
        <f t="shared" si="5"/>
        <v>0</v>
      </c>
      <c r="S18" s="273"/>
      <c r="T18" s="23"/>
      <c r="U18" s="24"/>
      <c r="V18" s="273"/>
      <c r="W18" s="23"/>
      <c r="X18" s="23"/>
      <c r="Y18" s="23"/>
      <c r="Z18" s="23"/>
      <c r="AA18" s="276"/>
    </row>
    <row r="19" spans="1:27" ht="21" thickBot="1">
      <c r="A19" s="215" t="s">
        <v>33</v>
      </c>
      <c r="B19" s="281" t="s">
        <v>365</v>
      </c>
      <c r="C19" s="282">
        <v>120</v>
      </c>
      <c r="D19" s="283">
        <f t="shared" si="0"/>
        <v>4</v>
      </c>
      <c r="E19" s="219">
        <f t="shared" si="2"/>
        <v>120</v>
      </c>
      <c r="F19" s="227">
        <f t="shared" si="3"/>
        <v>120</v>
      </c>
      <c r="G19" s="284">
        <f t="shared" si="4"/>
        <v>54</v>
      </c>
      <c r="H19" s="222">
        <v>28</v>
      </c>
      <c r="I19" s="219"/>
      <c r="J19" s="220">
        <v>26</v>
      </c>
      <c r="K19" s="222">
        <v>66</v>
      </c>
      <c r="L19" s="219"/>
      <c r="M19" s="219"/>
      <c r="N19" s="219"/>
      <c r="O19" s="219"/>
      <c r="P19" s="220" t="s">
        <v>67</v>
      </c>
      <c r="Q19" s="223">
        <f t="shared" si="1"/>
        <v>0</v>
      </c>
      <c r="R19" s="221">
        <f t="shared" si="5"/>
        <v>0</v>
      </c>
      <c r="S19" s="222"/>
      <c r="T19" s="285"/>
      <c r="U19" s="225"/>
      <c r="V19" s="226"/>
      <c r="W19" s="219"/>
      <c r="X19" s="219"/>
      <c r="Y19" s="219"/>
      <c r="Z19" s="219"/>
      <c r="AA19" s="227"/>
    </row>
    <row r="20" spans="1:27" ht="21" thickBot="1">
      <c r="A20" s="101" t="s">
        <v>34</v>
      </c>
      <c r="B20" s="277" t="s">
        <v>81</v>
      </c>
      <c r="C20" s="260">
        <v>300</v>
      </c>
      <c r="D20" s="278">
        <f t="shared" si="0"/>
        <v>10</v>
      </c>
      <c r="E20" s="110">
        <f t="shared" si="2"/>
        <v>300</v>
      </c>
      <c r="F20" s="114">
        <f t="shared" si="3"/>
        <v>300</v>
      </c>
      <c r="G20" s="279">
        <f t="shared" si="4"/>
        <v>180</v>
      </c>
      <c r="H20" s="113"/>
      <c r="I20" s="280"/>
      <c r="J20" s="247">
        <f>30*6</f>
        <v>180</v>
      </c>
      <c r="K20" s="248">
        <v>120</v>
      </c>
      <c r="L20" s="280"/>
      <c r="M20" s="280"/>
      <c r="N20" s="280"/>
      <c r="O20" s="110"/>
      <c r="P20" s="111" t="s">
        <v>67</v>
      </c>
      <c r="Q20" s="245">
        <f t="shared" si="1"/>
        <v>0</v>
      </c>
      <c r="R20" s="112">
        <f t="shared" si="5"/>
        <v>0</v>
      </c>
      <c r="S20" s="113"/>
      <c r="T20" s="280"/>
      <c r="U20" s="247"/>
      <c r="V20" s="248"/>
      <c r="W20" s="280"/>
      <c r="X20" s="280"/>
      <c r="Y20" s="280"/>
      <c r="Z20" s="110"/>
      <c r="AA20" s="114"/>
    </row>
    <row r="21" spans="1:27" ht="21" thickBot="1">
      <c r="A21" s="213" t="s">
        <v>35</v>
      </c>
      <c r="B21" s="266" t="s">
        <v>82</v>
      </c>
      <c r="C21" s="254">
        <v>240</v>
      </c>
      <c r="D21" s="150">
        <f t="shared" si="0"/>
        <v>8</v>
      </c>
      <c r="E21" s="13">
        <f t="shared" si="2"/>
        <v>240</v>
      </c>
      <c r="F21" s="17">
        <f t="shared" si="3"/>
        <v>0</v>
      </c>
      <c r="G21" s="267">
        <f t="shared" si="4"/>
        <v>0</v>
      </c>
      <c r="H21" s="176"/>
      <c r="I21" s="177"/>
      <c r="J21" s="178"/>
      <c r="K21" s="182"/>
      <c r="L21" s="177"/>
      <c r="M21" s="177"/>
      <c r="N21" s="177"/>
      <c r="O21" s="172"/>
      <c r="P21" s="173"/>
      <c r="Q21" s="164">
        <f t="shared" si="1"/>
        <v>240</v>
      </c>
      <c r="R21" s="9">
        <f t="shared" si="5"/>
        <v>120</v>
      </c>
      <c r="S21" s="16"/>
      <c r="T21" s="177"/>
      <c r="U21" s="178">
        <f>4*30</f>
        <v>120</v>
      </c>
      <c r="V21" s="182">
        <v>120</v>
      </c>
      <c r="W21" s="177"/>
      <c r="X21" s="177"/>
      <c r="Y21" s="177"/>
      <c r="Z21" s="172"/>
      <c r="AA21" s="184" t="s">
        <v>67</v>
      </c>
    </row>
    <row r="22" spans="1:27" ht="21" thickBot="1">
      <c r="A22" s="213" t="s">
        <v>36</v>
      </c>
      <c r="B22" s="266" t="s">
        <v>83</v>
      </c>
      <c r="C22" s="256">
        <v>30</v>
      </c>
      <c r="D22" s="257">
        <f t="shared" si="0"/>
        <v>1</v>
      </c>
      <c r="E22" s="95">
        <f t="shared" si="2"/>
        <v>30</v>
      </c>
      <c r="F22" s="99">
        <f t="shared" si="3"/>
        <v>0</v>
      </c>
      <c r="G22" s="267">
        <f t="shared" si="4"/>
        <v>0</v>
      </c>
      <c r="H22" s="176"/>
      <c r="I22" s="177"/>
      <c r="J22" s="178"/>
      <c r="K22" s="182"/>
      <c r="L22" s="177"/>
      <c r="M22" s="177"/>
      <c r="N22" s="177"/>
      <c r="O22" s="172"/>
      <c r="P22" s="173"/>
      <c r="Q22" s="164">
        <f t="shared" si="1"/>
        <v>30</v>
      </c>
      <c r="R22" s="9">
        <f t="shared" si="5"/>
        <v>30</v>
      </c>
      <c r="S22" s="176"/>
      <c r="T22" s="177"/>
      <c r="U22" s="178">
        <v>30</v>
      </c>
      <c r="V22" s="182"/>
      <c r="W22" s="177"/>
      <c r="X22" s="177"/>
      <c r="Y22" s="177"/>
      <c r="Z22" s="172"/>
      <c r="AA22" s="184"/>
    </row>
    <row r="23" spans="1:27" ht="21" thickBot="1">
      <c r="A23" s="240"/>
      <c r="B23" s="241" t="s">
        <v>42</v>
      </c>
      <c r="C23" s="30">
        <f>SUM(C14:C22)</f>
        <v>1245</v>
      </c>
      <c r="D23" s="31">
        <f>SUM(D14:D22)</f>
        <v>35</v>
      </c>
      <c r="E23" s="31">
        <f>SUM(E14:E22)</f>
        <v>1050</v>
      </c>
      <c r="F23" s="32">
        <f>SUM(F14:F22)</f>
        <v>780</v>
      </c>
      <c r="G23" s="39">
        <f>SUM(G14:G19)</f>
        <v>262</v>
      </c>
      <c r="H23" s="243">
        <f>SUM(H14:H22)</f>
        <v>146</v>
      </c>
      <c r="I23" s="77">
        <f>SUM(I14:I22)</f>
        <v>0</v>
      </c>
      <c r="J23" s="77">
        <f>SUM(J14:J22)</f>
        <v>296</v>
      </c>
      <c r="K23" s="77">
        <f>SUM(K14:K22)</f>
        <v>338</v>
      </c>
      <c r="L23" s="39">
        <v>1</v>
      </c>
      <c r="M23" s="77">
        <f>SUM(M14:M22)</f>
        <v>0</v>
      </c>
      <c r="N23" s="77">
        <f>SUM(N14:N22)</f>
        <v>0</v>
      </c>
      <c r="O23" s="39">
        <v>3</v>
      </c>
      <c r="P23" s="39">
        <v>3</v>
      </c>
      <c r="Q23" s="39">
        <f aca="true" t="shared" si="6" ref="Q23:Y23">SUM(Q14:Q22)</f>
        <v>270</v>
      </c>
      <c r="R23" s="258">
        <f t="shared" si="6"/>
        <v>150</v>
      </c>
      <c r="S23" s="243">
        <f t="shared" si="6"/>
        <v>0</v>
      </c>
      <c r="T23" s="77">
        <f t="shared" si="6"/>
        <v>0</v>
      </c>
      <c r="U23" s="77">
        <f t="shared" si="6"/>
        <v>150</v>
      </c>
      <c r="V23" s="77">
        <f t="shared" si="6"/>
        <v>120</v>
      </c>
      <c r="W23" s="77">
        <f t="shared" si="6"/>
        <v>0</v>
      </c>
      <c r="X23" s="77">
        <f t="shared" si="6"/>
        <v>0</v>
      </c>
      <c r="Y23" s="77">
        <f t="shared" si="6"/>
        <v>0</v>
      </c>
      <c r="Z23" s="77">
        <v>0</v>
      </c>
      <c r="AA23" s="146">
        <v>1</v>
      </c>
    </row>
    <row r="24" spans="1:27" ht="21" thickBot="1">
      <c r="A24" s="589"/>
      <c r="B24" s="40" t="s">
        <v>43</v>
      </c>
      <c r="C24" s="41"/>
      <c r="D24" s="42"/>
      <c r="E24" s="43"/>
      <c r="F24" s="44"/>
      <c r="G24" s="45">
        <f>G23/J10</f>
        <v>29.11111111111111</v>
      </c>
      <c r="H24" s="46"/>
      <c r="I24" s="47"/>
      <c r="J24" s="47"/>
      <c r="K24" s="47"/>
      <c r="L24" s="47"/>
      <c r="M24" s="47"/>
      <c r="N24" s="47"/>
      <c r="O24" s="48"/>
      <c r="P24" s="49"/>
      <c r="Q24" s="44"/>
      <c r="R24" s="50">
        <f>SUM(R14:R22)/U10</f>
        <v>30</v>
      </c>
      <c r="S24" s="51"/>
      <c r="T24" s="41"/>
      <c r="U24" s="41"/>
      <c r="V24" s="41"/>
      <c r="W24" s="41"/>
      <c r="X24" s="41"/>
      <c r="Y24" s="41"/>
      <c r="Z24" s="52"/>
      <c r="AA24" s="143"/>
    </row>
    <row r="25" spans="1:27" ht="21" thickBot="1">
      <c r="A25" s="590"/>
      <c r="B25" s="53" t="s">
        <v>44</v>
      </c>
      <c r="C25" s="43"/>
      <c r="D25" s="54"/>
      <c r="E25" s="43"/>
      <c r="F25" s="55"/>
      <c r="G25" s="56"/>
      <c r="H25" s="57"/>
      <c r="I25" s="43"/>
      <c r="J25" s="43"/>
      <c r="K25" s="43"/>
      <c r="L25" s="43"/>
      <c r="M25" s="43"/>
      <c r="N25" s="58"/>
      <c r="O25" s="39">
        <f>O23</f>
        <v>3</v>
      </c>
      <c r="P25" s="59"/>
      <c r="Q25" s="60"/>
      <c r="R25" s="61"/>
      <c r="S25" s="62"/>
      <c r="T25" s="62"/>
      <c r="U25" s="62"/>
      <c r="V25" s="62"/>
      <c r="W25" s="62"/>
      <c r="X25" s="62"/>
      <c r="Y25" s="58"/>
      <c r="Z25" s="39">
        <v>0</v>
      </c>
      <c r="AA25" s="144"/>
    </row>
    <row r="26" spans="1:27" ht="21" thickBot="1">
      <c r="A26" s="590"/>
      <c r="B26" s="53" t="s">
        <v>45</v>
      </c>
      <c r="C26" s="43"/>
      <c r="D26" s="54"/>
      <c r="E26" s="43"/>
      <c r="F26" s="55"/>
      <c r="G26" s="58"/>
      <c r="H26" s="57"/>
      <c r="I26" s="43"/>
      <c r="J26" s="43"/>
      <c r="K26" s="43"/>
      <c r="L26" s="63"/>
      <c r="M26" s="43"/>
      <c r="N26" s="62"/>
      <c r="O26" s="56"/>
      <c r="P26" s="39">
        <v>4</v>
      </c>
      <c r="Q26" s="60"/>
      <c r="R26" s="62"/>
      <c r="S26" s="62"/>
      <c r="T26" s="62"/>
      <c r="U26" s="62"/>
      <c r="V26" s="62"/>
      <c r="W26" s="64"/>
      <c r="X26" s="62"/>
      <c r="Y26" s="62"/>
      <c r="Z26" s="56"/>
      <c r="AA26" s="39">
        <v>1</v>
      </c>
    </row>
    <row r="27" spans="1:27" ht="21" thickBot="1">
      <c r="A27" s="590"/>
      <c r="B27" s="65" t="s">
        <v>46</v>
      </c>
      <c r="C27" s="63"/>
      <c r="D27" s="66"/>
      <c r="E27" s="63"/>
      <c r="F27" s="67"/>
      <c r="G27" s="66"/>
      <c r="H27" s="68"/>
      <c r="I27" s="69"/>
      <c r="J27" s="69"/>
      <c r="K27" s="70"/>
      <c r="L27" s="39">
        <v>1</v>
      </c>
      <c r="M27" s="71"/>
      <c r="N27" s="72"/>
      <c r="O27" s="72"/>
      <c r="P27" s="73"/>
      <c r="Q27" s="74"/>
      <c r="R27" s="64"/>
      <c r="S27" s="64"/>
      <c r="T27" s="64"/>
      <c r="U27" s="64"/>
      <c r="V27" s="75"/>
      <c r="W27" s="76">
        <v>0</v>
      </c>
      <c r="X27" s="67"/>
      <c r="Y27" s="63"/>
      <c r="Z27" s="64"/>
      <c r="AA27" s="145"/>
    </row>
    <row r="28" spans="1:27" ht="21" thickBot="1">
      <c r="A28" s="591"/>
      <c r="B28" s="137" t="s">
        <v>47</v>
      </c>
      <c r="C28" s="77">
        <f>SUM(C24:C27)</f>
        <v>0</v>
      </c>
      <c r="D28" s="77">
        <f aca="true" t="shared" si="7" ref="D28:AA28">SUM(D24:D27)</f>
        <v>0</v>
      </c>
      <c r="E28" s="77">
        <f t="shared" si="7"/>
        <v>0</v>
      </c>
      <c r="F28" s="77">
        <f t="shared" si="7"/>
        <v>0</v>
      </c>
      <c r="G28" s="78">
        <f>SUM(G24:G27)</f>
        <v>29.11111111111111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2">
        <f t="shared" si="7"/>
        <v>0</v>
      </c>
      <c r="L28" s="39">
        <f t="shared" si="7"/>
        <v>1</v>
      </c>
      <c r="M28" s="38">
        <f t="shared" si="7"/>
        <v>0</v>
      </c>
      <c r="N28" s="31">
        <f t="shared" si="7"/>
        <v>0</v>
      </c>
      <c r="O28" s="31">
        <f t="shared" si="7"/>
        <v>3</v>
      </c>
      <c r="P28" s="31">
        <f t="shared" si="7"/>
        <v>4</v>
      </c>
      <c r="Q28" s="77">
        <f t="shared" si="7"/>
        <v>0</v>
      </c>
      <c r="R28" s="78">
        <f t="shared" si="7"/>
        <v>30</v>
      </c>
      <c r="S28" s="77">
        <f t="shared" si="7"/>
        <v>0</v>
      </c>
      <c r="T28" s="77">
        <f t="shared" si="7"/>
        <v>0</v>
      </c>
      <c r="U28" s="77">
        <f t="shared" si="7"/>
        <v>0</v>
      </c>
      <c r="V28" s="77">
        <f t="shared" si="7"/>
        <v>0</v>
      </c>
      <c r="W28" s="77">
        <f t="shared" si="7"/>
        <v>0</v>
      </c>
      <c r="X28" s="77">
        <f t="shared" si="7"/>
        <v>0</v>
      </c>
      <c r="Y28" s="77">
        <f t="shared" si="7"/>
        <v>0</v>
      </c>
      <c r="Z28" s="77">
        <f t="shared" si="7"/>
        <v>0</v>
      </c>
      <c r="AA28" s="146">
        <f t="shared" si="7"/>
        <v>1</v>
      </c>
    </row>
    <row r="29" spans="1:27" ht="20.25">
      <c r="A29" s="80"/>
      <c r="B29" s="80"/>
      <c r="C29" s="81"/>
      <c r="D29" s="80"/>
      <c r="E29" s="81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27" ht="20.25">
      <c r="A30" s="80"/>
      <c r="B30" s="80"/>
      <c r="C30" s="81"/>
      <c r="D30" s="80"/>
      <c r="E30" s="81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27" ht="20.25">
      <c r="A31" s="80"/>
      <c r="B31" s="80"/>
      <c r="C31" s="81"/>
      <c r="D31" s="80"/>
      <c r="E31" s="8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1:27" ht="26.25">
      <c r="A32" s="1"/>
      <c r="B32" s="82" t="s">
        <v>60</v>
      </c>
      <c r="C32" s="82"/>
      <c r="D32" s="82"/>
      <c r="E32" s="82"/>
      <c r="F32" s="82"/>
      <c r="G32" s="82"/>
      <c r="H32" s="82"/>
      <c r="I32" s="82"/>
      <c r="J32" s="82"/>
      <c r="K32" s="82" t="s">
        <v>59</v>
      </c>
      <c r="L32" s="82"/>
      <c r="M32" s="82"/>
      <c r="N32" s="82"/>
      <c r="O32" s="82"/>
      <c r="P32" s="82"/>
      <c r="Q32" s="82"/>
      <c r="R32" s="83"/>
      <c r="S32" s="83"/>
      <c r="T32" s="84"/>
      <c r="U32" s="85"/>
      <c r="V32" s="85"/>
      <c r="W32" s="85"/>
      <c r="X32" s="85"/>
      <c r="Y32" s="86"/>
      <c r="Z32" s="86"/>
      <c r="AA32" s="86"/>
    </row>
    <row r="33" spans="1:27" ht="26.25">
      <c r="A33" s="87"/>
      <c r="B33" s="592"/>
      <c r="C33" s="592"/>
      <c r="D33" s="592"/>
      <c r="E33" s="592"/>
      <c r="F33" s="592"/>
      <c r="G33" s="592"/>
      <c r="H33" s="592"/>
      <c r="I33" s="592"/>
      <c r="J33" s="592"/>
      <c r="K33" s="87"/>
      <c r="L33" s="87"/>
      <c r="M33" s="87"/>
      <c r="N33" s="87"/>
      <c r="O33" s="87"/>
      <c r="P33" s="87"/>
      <c r="Q33" s="87"/>
      <c r="R33" s="87" t="s">
        <v>48</v>
      </c>
      <c r="S33" s="89"/>
      <c r="T33" s="90" t="s">
        <v>49</v>
      </c>
      <c r="U33" s="91" t="s">
        <v>50</v>
      </c>
      <c r="V33" s="91"/>
      <c r="W33" s="91"/>
      <c r="X33" s="90"/>
      <c r="Y33" s="90"/>
      <c r="Z33" s="92"/>
      <c r="AA33" s="92"/>
    </row>
    <row r="34" spans="1:27" ht="26.2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2"/>
      <c r="L34" s="82"/>
      <c r="M34" s="82"/>
      <c r="N34" s="82"/>
      <c r="O34" s="82"/>
      <c r="P34" s="82"/>
      <c r="Q34" s="82"/>
      <c r="R34" s="82"/>
      <c r="S34" s="82"/>
      <c r="T34" s="84"/>
      <c r="U34" s="84"/>
      <c r="V34" s="84"/>
      <c r="W34" s="84"/>
      <c r="X34" s="93"/>
      <c r="Y34" s="93"/>
      <c r="Z34" s="94"/>
      <c r="AA34" s="94"/>
    </row>
    <row r="35" spans="1:27" ht="26.2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2" t="s">
        <v>51</v>
      </c>
      <c r="L35" s="82"/>
      <c r="M35" s="82"/>
      <c r="N35" s="82"/>
      <c r="O35" s="82"/>
      <c r="P35" s="82"/>
      <c r="Q35" s="82"/>
      <c r="R35" s="83"/>
      <c r="S35" s="83"/>
      <c r="T35" s="84"/>
      <c r="U35" s="85"/>
      <c r="V35" s="85"/>
      <c r="W35" s="85"/>
      <c r="X35" s="85"/>
      <c r="Y35" s="86"/>
      <c r="Z35" s="94"/>
      <c r="AA35" s="94"/>
    </row>
    <row r="36" spans="1:27" ht="26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7"/>
      <c r="L36" s="87"/>
      <c r="M36" s="87"/>
      <c r="N36" s="87"/>
      <c r="O36" s="87"/>
      <c r="P36" s="87"/>
      <c r="Q36" s="87"/>
      <c r="R36" s="87" t="s">
        <v>48</v>
      </c>
      <c r="S36" s="89"/>
      <c r="T36" s="90" t="s">
        <v>52</v>
      </c>
      <c r="U36" s="91" t="s">
        <v>50</v>
      </c>
      <c r="V36" s="91"/>
      <c r="W36" s="91"/>
      <c r="X36" s="90"/>
      <c r="Y36" s="90"/>
      <c r="Z36" s="94"/>
      <c r="AA36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24:A28"/>
    <mergeCell ref="B33:J33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2"/>
  <sheetViews>
    <sheetView zoomScale="55" zoomScaleNormal="55" zoomScalePageLayoutView="0" workbookViewId="0" topLeftCell="A1">
      <selection activeCell="AA42" sqref="A1:AA42"/>
    </sheetView>
  </sheetViews>
  <sheetFormatPr defaultColWidth="9.140625" defaultRowHeight="15"/>
  <cols>
    <col min="2" max="2" width="82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276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269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121</v>
      </c>
      <c r="G10" s="573"/>
      <c r="H10" s="573"/>
      <c r="I10" s="573"/>
      <c r="J10" s="140">
        <v>12</v>
      </c>
      <c r="K10" s="573" t="s">
        <v>12</v>
      </c>
      <c r="L10" s="573"/>
      <c r="M10" s="573"/>
      <c r="N10" s="573"/>
      <c r="O10" s="573"/>
      <c r="P10" s="574"/>
      <c r="Q10" s="572" t="s">
        <v>122</v>
      </c>
      <c r="R10" s="573"/>
      <c r="S10" s="573"/>
      <c r="T10" s="574"/>
      <c r="U10" s="140">
        <v>16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26" t="s">
        <v>28</v>
      </c>
      <c r="B14" s="323" t="s">
        <v>270</v>
      </c>
      <c r="C14" s="340">
        <v>90</v>
      </c>
      <c r="D14" s="342">
        <f aca="true" t="shared" si="0" ref="D14:D27">E14/30</f>
        <v>3</v>
      </c>
      <c r="E14" s="13">
        <f aca="true" t="shared" si="1" ref="E14:E28">F14+Q14</f>
        <v>90</v>
      </c>
      <c r="F14" s="14">
        <f>G14+K14+N14+M14</f>
        <v>90</v>
      </c>
      <c r="G14" s="301">
        <f aca="true" t="shared" si="2" ref="G14:G28">H14+I14+J14</f>
        <v>48</v>
      </c>
      <c r="H14" s="350">
        <v>24</v>
      </c>
      <c r="I14" s="13"/>
      <c r="J14" s="17">
        <v>24</v>
      </c>
      <c r="K14" s="350">
        <v>42</v>
      </c>
      <c r="L14" s="13"/>
      <c r="M14" s="13"/>
      <c r="N14" s="13"/>
      <c r="O14" s="13" t="s">
        <v>70</v>
      </c>
      <c r="P14" s="14"/>
      <c r="Q14" s="347">
        <f aca="true" t="shared" si="3" ref="Q14:Q24">V14+X14+Y14+R14</f>
        <v>0</v>
      </c>
      <c r="R14" s="148">
        <f aca="true" t="shared" si="4" ref="R14:R28">S14+T14+U14</f>
        <v>0</v>
      </c>
      <c r="S14" s="16"/>
      <c r="T14" s="13"/>
      <c r="U14" s="14"/>
      <c r="V14" s="16"/>
      <c r="W14" s="13"/>
      <c r="X14" s="13"/>
      <c r="Y14" s="13"/>
      <c r="Z14" s="13"/>
      <c r="AA14" s="17"/>
    </row>
    <row r="15" spans="1:27" ht="24.75" customHeight="1">
      <c r="A15" s="326" t="s">
        <v>29</v>
      </c>
      <c r="B15" s="323" t="s">
        <v>142</v>
      </c>
      <c r="C15" s="340">
        <v>75</v>
      </c>
      <c r="D15" s="342">
        <f t="shared" si="0"/>
        <v>2.5</v>
      </c>
      <c r="E15" s="13">
        <f t="shared" si="1"/>
        <v>75</v>
      </c>
      <c r="F15" s="14">
        <f aca="true" t="shared" si="5" ref="F15:F27">G15+K15+N15+M15</f>
        <v>75</v>
      </c>
      <c r="G15" s="301">
        <f t="shared" si="2"/>
        <v>36</v>
      </c>
      <c r="H15" s="350">
        <v>24</v>
      </c>
      <c r="I15" s="13"/>
      <c r="J15" s="17">
        <v>12</v>
      </c>
      <c r="K15" s="350">
        <v>39</v>
      </c>
      <c r="L15" s="13"/>
      <c r="M15" s="13"/>
      <c r="N15" s="13"/>
      <c r="O15" s="13"/>
      <c r="P15" s="14" t="s">
        <v>67</v>
      </c>
      <c r="Q15" s="347">
        <f t="shared" si="3"/>
        <v>0</v>
      </c>
      <c r="R15" s="148">
        <f t="shared" si="4"/>
        <v>0</v>
      </c>
      <c r="S15" s="16"/>
      <c r="T15" s="13"/>
      <c r="U15" s="14"/>
      <c r="V15" s="16"/>
      <c r="W15" s="13"/>
      <c r="X15" s="13"/>
      <c r="Y15" s="13"/>
      <c r="Z15" s="13"/>
      <c r="AA15" s="17"/>
    </row>
    <row r="16" spans="1:27" ht="24.75" customHeight="1">
      <c r="A16" s="326" t="s">
        <v>30</v>
      </c>
      <c r="B16" s="323" t="s">
        <v>242</v>
      </c>
      <c r="C16" s="340">
        <v>210</v>
      </c>
      <c r="D16" s="342">
        <f t="shared" si="0"/>
        <v>7</v>
      </c>
      <c r="E16" s="13">
        <f t="shared" si="1"/>
        <v>210</v>
      </c>
      <c r="F16" s="14">
        <f t="shared" si="5"/>
        <v>90</v>
      </c>
      <c r="G16" s="301">
        <f t="shared" si="2"/>
        <v>50</v>
      </c>
      <c r="H16" s="350">
        <v>26</v>
      </c>
      <c r="I16" s="13"/>
      <c r="J16" s="17">
        <f>2*12</f>
        <v>24</v>
      </c>
      <c r="K16" s="350">
        <v>40</v>
      </c>
      <c r="L16" s="13"/>
      <c r="M16" s="13"/>
      <c r="N16" s="13"/>
      <c r="O16" s="13"/>
      <c r="P16" s="14" t="s">
        <v>67</v>
      </c>
      <c r="Q16" s="347">
        <f t="shared" si="3"/>
        <v>120</v>
      </c>
      <c r="R16" s="148">
        <f t="shared" si="4"/>
        <v>78</v>
      </c>
      <c r="S16" s="16">
        <f>16*3</f>
        <v>48</v>
      </c>
      <c r="T16" s="13"/>
      <c r="U16" s="14">
        <f>54-24</f>
        <v>30</v>
      </c>
      <c r="V16" s="16">
        <v>42</v>
      </c>
      <c r="W16" s="13"/>
      <c r="X16" s="13"/>
      <c r="Y16" s="13"/>
      <c r="Z16" s="13"/>
      <c r="AA16" s="17" t="s">
        <v>67</v>
      </c>
    </row>
    <row r="17" spans="1:27" ht="24.75" customHeight="1">
      <c r="A17" s="326" t="s">
        <v>31</v>
      </c>
      <c r="B17" s="323" t="s">
        <v>271</v>
      </c>
      <c r="C17" s="340">
        <v>150</v>
      </c>
      <c r="D17" s="342">
        <f t="shared" si="0"/>
        <v>5</v>
      </c>
      <c r="E17" s="13">
        <f t="shared" si="1"/>
        <v>150</v>
      </c>
      <c r="F17" s="14">
        <f t="shared" si="5"/>
        <v>0</v>
      </c>
      <c r="G17" s="301">
        <f t="shared" si="2"/>
        <v>0</v>
      </c>
      <c r="H17" s="350"/>
      <c r="I17" s="13"/>
      <c r="J17" s="17"/>
      <c r="K17" s="350"/>
      <c r="L17" s="13"/>
      <c r="M17" s="13"/>
      <c r="N17" s="13"/>
      <c r="O17" s="13"/>
      <c r="P17" s="14"/>
      <c r="Q17" s="347">
        <f t="shared" si="3"/>
        <v>150</v>
      </c>
      <c r="R17" s="148">
        <f t="shared" si="4"/>
        <v>80</v>
      </c>
      <c r="S17" s="16">
        <v>50</v>
      </c>
      <c r="T17" s="13"/>
      <c r="U17" s="14">
        <v>30</v>
      </c>
      <c r="V17" s="16">
        <v>70</v>
      </c>
      <c r="W17" s="13" t="s">
        <v>125</v>
      </c>
      <c r="X17" s="13"/>
      <c r="Y17" s="13"/>
      <c r="Z17" s="13" t="s">
        <v>70</v>
      </c>
      <c r="AA17" s="17"/>
    </row>
    <row r="18" spans="1:27" ht="20.25">
      <c r="A18" s="326" t="s">
        <v>32</v>
      </c>
      <c r="B18" s="323" t="s">
        <v>272</v>
      </c>
      <c r="C18" s="340">
        <v>120</v>
      </c>
      <c r="D18" s="342">
        <f t="shared" si="0"/>
        <v>4</v>
      </c>
      <c r="E18" s="13">
        <f t="shared" si="1"/>
        <v>120</v>
      </c>
      <c r="F18" s="14">
        <f t="shared" si="5"/>
        <v>120</v>
      </c>
      <c r="G18" s="301">
        <f t="shared" si="2"/>
        <v>72</v>
      </c>
      <c r="H18" s="350">
        <v>42</v>
      </c>
      <c r="I18" s="13"/>
      <c r="J18" s="17">
        <v>30</v>
      </c>
      <c r="K18" s="350">
        <v>48</v>
      </c>
      <c r="L18" s="13" t="s">
        <v>125</v>
      </c>
      <c r="M18" s="13"/>
      <c r="N18" s="13"/>
      <c r="O18" s="13" t="s">
        <v>70</v>
      </c>
      <c r="P18" s="14"/>
      <c r="Q18" s="347">
        <f t="shared" si="3"/>
        <v>0</v>
      </c>
      <c r="R18" s="148">
        <f t="shared" si="4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4" t="s">
        <v>247</v>
      </c>
      <c r="C19" s="340">
        <v>120</v>
      </c>
      <c r="D19" s="342">
        <f t="shared" si="0"/>
        <v>4</v>
      </c>
      <c r="E19" s="13">
        <f t="shared" si="1"/>
        <v>120</v>
      </c>
      <c r="F19" s="14">
        <f t="shared" si="5"/>
        <v>0</v>
      </c>
      <c r="G19" s="301">
        <f t="shared" si="2"/>
        <v>0</v>
      </c>
      <c r="H19" s="354"/>
      <c r="I19" s="13"/>
      <c r="J19" s="17"/>
      <c r="K19" s="350"/>
      <c r="L19" s="13"/>
      <c r="M19" s="13"/>
      <c r="N19" s="13"/>
      <c r="O19" s="13"/>
      <c r="P19" s="14"/>
      <c r="Q19" s="347">
        <f t="shared" si="3"/>
        <v>120</v>
      </c>
      <c r="R19" s="148">
        <f t="shared" si="4"/>
        <v>80</v>
      </c>
      <c r="S19" s="167">
        <v>46</v>
      </c>
      <c r="T19" s="13"/>
      <c r="U19" s="14">
        <v>34</v>
      </c>
      <c r="V19" s="16">
        <v>40</v>
      </c>
      <c r="W19" s="13"/>
      <c r="X19" s="13"/>
      <c r="Y19" s="13"/>
      <c r="Z19" s="13"/>
      <c r="AA19" s="17" t="s">
        <v>67</v>
      </c>
    </row>
    <row r="20" spans="1:27" ht="24.75" customHeight="1">
      <c r="A20" s="326" t="s">
        <v>34</v>
      </c>
      <c r="B20" s="324" t="s">
        <v>273</v>
      </c>
      <c r="C20" s="340">
        <v>150</v>
      </c>
      <c r="D20" s="342">
        <f t="shared" si="0"/>
        <v>5</v>
      </c>
      <c r="E20" s="13">
        <f t="shared" si="1"/>
        <v>150</v>
      </c>
      <c r="F20" s="14">
        <f t="shared" si="5"/>
        <v>0</v>
      </c>
      <c r="G20" s="301">
        <f t="shared" si="2"/>
        <v>0</v>
      </c>
      <c r="H20" s="354"/>
      <c r="I20" s="13"/>
      <c r="J20" s="17"/>
      <c r="K20" s="350"/>
      <c r="L20" s="13"/>
      <c r="M20" s="13"/>
      <c r="N20" s="13"/>
      <c r="O20" s="13"/>
      <c r="P20" s="14"/>
      <c r="Q20" s="347">
        <f t="shared" si="3"/>
        <v>150</v>
      </c>
      <c r="R20" s="148">
        <f t="shared" si="4"/>
        <v>64</v>
      </c>
      <c r="S20" s="167">
        <v>30</v>
      </c>
      <c r="T20" s="13"/>
      <c r="U20" s="14">
        <v>34</v>
      </c>
      <c r="V20" s="16">
        <v>86</v>
      </c>
      <c r="W20" s="13"/>
      <c r="X20" s="13"/>
      <c r="Y20" s="13"/>
      <c r="Z20" s="13"/>
      <c r="AA20" s="17" t="s">
        <v>67</v>
      </c>
    </row>
    <row r="21" spans="1:27" ht="24.75" customHeight="1">
      <c r="A21" s="362" t="s">
        <v>35</v>
      </c>
      <c r="B21" s="445" t="s">
        <v>193</v>
      </c>
      <c r="C21" s="363">
        <v>120</v>
      </c>
      <c r="D21" s="342">
        <f t="shared" si="0"/>
        <v>4</v>
      </c>
      <c r="E21" s="13">
        <f t="shared" si="1"/>
        <v>120</v>
      </c>
      <c r="F21" s="14">
        <f t="shared" si="5"/>
        <v>0</v>
      </c>
      <c r="G21" s="301">
        <f t="shared" si="2"/>
        <v>0</v>
      </c>
      <c r="H21" s="446"/>
      <c r="I21" s="172"/>
      <c r="J21" s="184"/>
      <c r="K21" s="365"/>
      <c r="L21" s="172"/>
      <c r="M21" s="172"/>
      <c r="N21" s="172"/>
      <c r="O21" s="172"/>
      <c r="P21" s="173"/>
      <c r="Q21" s="347">
        <f t="shared" si="3"/>
        <v>120</v>
      </c>
      <c r="R21" s="148">
        <f t="shared" si="4"/>
        <v>64</v>
      </c>
      <c r="S21" s="421">
        <v>42</v>
      </c>
      <c r="T21" s="172"/>
      <c r="U21" s="173">
        <v>22</v>
      </c>
      <c r="V21" s="176">
        <v>56</v>
      </c>
      <c r="W21" s="172"/>
      <c r="X21" s="172"/>
      <c r="Y21" s="172"/>
      <c r="Z21" s="172" t="s">
        <v>70</v>
      </c>
      <c r="AA21" s="184"/>
    </row>
    <row r="22" spans="1:27" ht="24.75" customHeight="1">
      <c r="A22" s="362" t="s">
        <v>36</v>
      </c>
      <c r="B22" s="445" t="s">
        <v>248</v>
      </c>
      <c r="C22" s="363">
        <v>150</v>
      </c>
      <c r="D22" s="342">
        <f t="shared" si="0"/>
        <v>5</v>
      </c>
      <c r="E22" s="13">
        <f t="shared" si="1"/>
        <v>150</v>
      </c>
      <c r="F22" s="14">
        <f t="shared" si="5"/>
        <v>0</v>
      </c>
      <c r="G22" s="301">
        <f t="shared" si="2"/>
        <v>0</v>
      </c>
      <c r="H22" s="446"/>
      <c r="I22" s="172"/>
      <c r="J22" s="184"/>
      <c r="K22" s="365"/>
      <c r="L22" s="172"/>
      <c r="M22" s="172"/>
      <c r="N22" s="172"/>
      <c r="O22" s="172"/>
      <c r="P22" s="173"/>
      <c r="Q22" s="366">
        <f t="shared" si="3"/>
        <v>150</v>
      </c>
      <c r="R22" s="367">
        <f t="shared" si="4"/>
        <v>80</v>
      </c>
      <c r="S22" s="421">
        <v>46</v>
      </c>
      <c r="T22" s="172"/>
      <c r="U22" s="173">
        <v>34</v>
      </c>
      <c r="V22" s="176">
        <v>70</v>
      </c>
      <c r="W22" s="172"/>
      <c r="X22" s="172"/>
      <c r="Y22" s="172"/>
      <c r="Z22" s="172" t="s">
        <v>70</v>
      </c>
      <c r="AA22" s="184"/>
    </row>
    <row r="23" spans="1:27" ht="24.75" customHeight="1">
      <c r="A23" s="362" t="s">
        <v>37</v>
      </c>
      <c r="B23" s="445" t="s">
        <v>275</v>
      </c>
      <c r="C23" s="363">
        <v>105</v>
      </c>
      <c r="D23" s="342">
        <f t="shared" si="0"/>
        <v>3.5</v>
      </c>
      <c r="E23" s="13">
        <f t="shared" si="1"/>
        <v>105</v>
      </c>
      <c r="F23" s="14">
        <f t="shared" si="5"/>
        <v>105</v>
      </c>
      <c r="G23" s="301">
        <f t="shared" si="2"/>
        <v>48</v>
      </c>
      <c r="H23" s="446">
        <v>36</v>
      </c>
      <c r="I23" s="172"/>
      <c r="J23" s="184">
        <v>12</v>
      </c>
      <c r="K23" s="365">
        <v>57</v>
      </c>
      <c r="L23" s="172"/>
      <c r="M23" s="172"/>
      <c r="N23" s="172"/>
      <c r="O23" s="172"/>
      <c r="P23" s="173" t="s">
        <v>67</v>
      </c>
      <c r="Q23" s="366">
        <f t="shared" si="3"/>
        <v>0</v>
      </c>
      <c r="R23" s="367">
        <f t="shared" si="4"/>
        <v>0</v>
      </c>
      <c r="S23" s="421"/>
      <c r="T23" s="172"/>
      <c r="U23" s="173"/>
      <c r="V23" s="176"/>
      <c r="W23" s="172"/>
      <c r="X23" s="172"/>
      <c r="Y23" s="172"/>
      <c r="Z23" s="172"/>
      <c r="AA23" s="184"/>
    </row>
    <row r="24" spans="1:27" ht="24.75" customHeight="1" thickBot="1">
      <c r="A24" s="362" t="s">
        <v>38</v>
      </c>
      <c r="B24" s="169" t="s">
        <v>274</v>
      </c>
      <c r="C24" s="363">
        <v>120</v>
      </c>
      <c r="D24" s="364">
        <f t="shared" si="0"/>
        <v>4</v>
      </c>
      <c r="E24" s="172">
        <f t="shared" si="1"/>
        <v>120</v>
      </c>
      <c r="F24" s="173">
        <f t="shared" si="5"/>
        <v>120</v>
      </c>
      <c r="G24" s="303">
        <f t="shared" si="2"/>
        <v>48</v>
      </c>
      <c r="H24" s="365">
        <v>36</v>
      </c>
      <c r="I24" s="172"/>
      <c r="J24" s="184">
        <v>12</v>
      </c>
      <c r="K24" s="365">
        <v>72</v>
      </c>
      <c r="L24" s="172"/>
      <c r="M24" s="172"/>
      <c r="N24" s="172"/>
      <c r="O24" s="172" t="s">
        <v>70</v>
      </c>
      <c r="P24" s="173"/>
      <c r="Q24" s="366">
        <f t="shared" si="3"/>
        <v>0</v>
      </c>
      <c r="R24" s="367">
        <f t="shared" si="4"/>
        <v>0</v>
      </c>
      <c r="S24" s="176"/>
      <c r="T24" s="295"/>
      <c r="U24" s="178"/>
      <c r="V24" s="182"/>
      <c r="W24" s="172"/>
      <c r="X24" s="172"/>
      <c r="Y24" s="172"/>
      <c r="Z24" s="172"/>
      <c r="AA24" s="276"/>
    </row>
    <row r="25" spans="1:27" ht="24.75" customHeight="1" thickBot="1">
      <c r="A25" s="374" t="s">
        <v>39</v>
      </c>
      <c r="B25" s="375" t="s">
        <v>366</v>
      </c>
      <c r="C25" s="217">
        <v>150</v>
      </c>
      <c r="D25" s="463">
        <f t="shared" si="0"/>
        <v>5</v>
      </c>
      <c r="E25" s="464">
        <f t="shared" si="1"/>
        <v>150</v>
      </c>
      <c r="F25" s="465">
        <f t="shared" si="5"/>
        <v>150</v>
      </c>
      <c r="G25" s="376">
        <f t="shared" si="2"/>
        <v>60</v>
      </c>
      <c r="H25" s="377">
        <v>30</v>
      </c>
      <c r="I25" s="219"/>
      <c r="J25" s="227">
        <v>30</v>
      </c>
      <c r="K25" s="377">
        <v>90</v>
      </c>
      <c r="L25" s="219"/>
      <c r="M25" s="219"/>
      <c r="N25" s="219"/>
      <c r="O25" s="219"/>
      <c r="P25" s="220" t="s">
        <v>67</v>
      </c>
      <c r="Q25" s="378">
        <f>V25+W25+X25+Y25+R25</f>
        <v>0</v>
      </c>
      <c r="R25" s="379">
        <f t="shared" si="4"/>
        <v>0</v>
      </c>
      <c r="S25" s="222"/>
      <c r="T25" s="224"/>
      <c r="U25" s="225"/>
      <c r="V25" s="226"/>
      <c r="W25" s="219"/>
      <c r="X25" s="219"/>
      <c r="Y25" s="219"/>
      <c r="Z25" s="219"/>
      <c r="AA25" s="227"/>
    </row>
    <row r="26" spans="1:27" s="239" customFormat="1" ht="24.75" customHeight="1" thickBot="1">
      <c r="A26" s="368" t="s">
        <v>40</v>
      </c>
      <c r="B26" s="369" t="s">
        <v>82</v>
      </c>
      <c r="C26" s="459">
        <v>135</v>
      </c>
      <c r="D26" s="427">
        <f t="shared" si="0"/>
        <v>4.5</v>
      </c>
      <c r="E26" s="424">
        <f t="shared" si="1"/>
        <v>135</v>
      </c>
      <c r="F26" s="322">
        <f t="shared" si="5"/>
        <v>135</v>
      </c>
      <c r="G26" s="462">
        <f t="shared" si="2"/>
        <v>90</v>
      </c>
      <c r="H26" s="372"/>
      <c r="I26" s="370"/>
      <c r="J26" s="249">
        <f>3*30</f>
        <v>90</v>
      </c>
      <c r="K26" s="372">
        <f>15*3</f>
        <v>45</v>
      </c>
      <c r="L26" s="370"/>
      <c r="M26" s="370"/>
      <c r="N26" s="370"/>
      <c r="O26" s="370"/>
      <c r="P26" s="371" t="s">
        <v>67</v>
      </c>
      <c r="Q26" s="380">
        <f>V26+X26+Y26+R26</f>
        <v>0</v>
      </c>
      <c r="R26" s="351">
        <f t="shared" si="4"/>
        <v>0</v>
      </c>
      <c r="S26" s="373"/>
      <c r="T26" s="370"/>
      <c r="U26" s="371"/>
      <c r="V26" s="373"/>
      <c r="W26" s="370"/>
      <c r="X26" s="370"/>
      <c r="Y26" s="370"/>
      <c r="Z26" s="370"/>
      <c r="AA26" s="249"/>
    </row>
    <row r="27" spans="1:27" s="239" customFormat="1" ht="24.75" customHeight="1" thickBot="1">
      <c r="A27" s="336" t="s">
        <v>41</v>
      </c>
      <c r="B27" s="360" t="s">
        <v>81</v>
      </c>
      <c r="C27" s="460">
        <v>165</v>
      </c>
      <c r="D27" s="119">
        <f t="shared" si="0"/>
        <v>5.5</v>
      </c>
      <c r="E27" s="120">
        <f t="shared" si="1"/>
        <v>165</v>
      </c>
      <c r="F27" s="121">
        <f t="shared" si="5"/>
        <v>0</v>
      </c>
      <c r="G27" s="462">
        <f t="shared" si="2"/>
        <v>0</v>
      </c>
      <c r="H27" s="175"/>
      <c r="I27" s="120"/>
      <c r="J27" s="121"/>
      <c r="K27" s="175"/>
      <c r="L27" s="120"/>
      <c r="M27" s="120"/>
      <c r="N27" s="120"/>
      <c r="O27" s="120"/>
      <c r="P27" s="21"/>
      <c r="Q27" s="380">
        <f>V27+X27+Y27+R27</f>
        <v>165</v>
      </c>
      <c r="R27" s="351">
        <f t="shared" si="4"/>
        <v>120</v>
      </c>
      <c r="S27" s="119"/>
      <c r="T27" s="120"/>
      <c r="U27" s="21">
        <v>120</v>
      </c>
      <c r="V27" s="119">
        <v>45</v>
      </c>
      <c r="W27" s="120"/>
      <c r="X27" s="120"/>
      <c r="Y27" s="120"/>
      <c r="Z27" s="120"/>
      <c r="AA27" s="121" t="s">
        <v>67</v>
      </c>
    </row>
    <row r="28" spans="1:27" s="239" customFormat="1" ht="24.75" customHeight="1" thickBot="1">
      <c r="A28" s="337" t="s">
        <v>55</v>
      </c>
      <c r="B28" s="361" t="s">
        <v>83</v>
      </c>
      <c r="C28" s="461">
        <v>30</v>
      </c>
      <c r="D28" s="106">
        <f>E28/30</f>
        <v>1</v>
      </c>
      <c r="E28" s="105">
        <f t="shared" si="1"/>
        <v>30</v>
      </c>
      <c r="F28" s="107">
        <f>G28+K28+N28+M28</f>
        <v>0</v>
      </c>
      <c r="G28" s="462">
        <f t="shared" si="2"/>
        <v>0</v>
      </c>
      <c r="H28" s="352"/>
      <c r="I28" s="344"/>
      <c r="J28" s="345"/>
      <c r="K28" s="352"/>
      <c r="L28" s="344"/>
      <c r="M28" s="344"/>
      <c r="N28" s="344"/>
      <c r="O28" s="344"/>
      <c r="P28" s="353"/>
      <c r="Q28" s="380">
        <f>V28+X28+Y28+R28</f>
        <v>30</v>
      </c>
      <c r="R28" s="351">
        <f t="shared" si="4"/>
        <v>30</v>
      </c>
      <c r="S28" s="343"/>
      <c r="T28" s="355"/>
      <c r="U28" s="356">
        <v>30</v>
      </c>
      <c r="V28" s="357"/>
      <c r="W28" s="344"/>
      <c r="X28" s="344"/>
      <c r="Y28" s="344"/>
      <c r="Z28" s="105"/>
      <c r="AA28" s="345"/>
    </row>
    <row r="29" spans="1:27" ht="24.75" customHeight="1" thickBot="1">
      <c r="A29" s="28"/>
      <c r="B29" s="241" t="s">
        <v>42</v>
      </c>
      <c r="C29" s="33">
        <f>SUM(C14:C28)</f>
        <v>1890</v>
      </c>
      <c r="D29" s="38">
        <f>SUM(D14:D28)</f>
        <v>63</v>
      </c>
      <c r="E29" s="31">
        <f>SUM(E14:E28)</f>
        <v>1890</v>
      </c>
      <c r="F29" s="32">
        <f>SUM(F14:F28)</f>
        <v>885</v>
      </c>
      <c r="G29" s="33">
        <f>SUM(G14:G25)</f>
        <v>362</v>
      </c>
      <c r="H29" s="38">
        <f>SUM(H14:H28)</f>
        <v>218</v>
      </c>
      <c r="I29" s="31">
        <f>SUM(I14:I28)</f>
        <v>0</v>
      </c>
      <c r="J29" s="31">
        <f>SUM(J14:J28)</f>
        <v>234</v>
      </c>
      <c r="K29" s="31">
        <f>SUM(K14:K28)</f>
        <v>433</v>
      </c>
      <c r="L29" s="31">
        <v>1</v>
      </c>
      <c r="M29" s="31">
        <f>SUM(M14:M28)</f>
        <v>0</v>
      </c>
      <c r="N29" s="31">
        <f>SUM(N14:N28)</f>
        <v>0</v>
      </c>
      <c r="O29" s="31">
        <v>3</v>
      </c>
      <c r="P29" s="32">
        <v>4</v>
      </c>
      <c r="Q29" s="33">
        <f>SUM(Q14:Q28)</f>
        <v>1005</v>
      </c>
      <c r="R29" s="37">
        <f>SUM(R14:R25)</f>
        <v>446</v>
      </c>
      <c r="S29" s="38">
        <f>SUM(S14:S28)</f>
        <v>262</v>
      </c>
      <c r="T29" s="31">
        <f>SUM(T14:T28)</f>
        <v>0</v>
      </c>
      <c r="U29" s="31">
        <f>SUM(U14:U28)</f>
        <v>334</v>
      </c>
      <c r="V29" s="31">
        <f>SUM(V14:V28)</f>
        <v>409</v>
      </c>
      <c r="W29" s="31">
        <v>1</v>
      </c>
      <c r="X29" s="31">
        <v>0</v>
      </c>
      <c r="Y29" s="31">
        <v>0</v>
      </c>
      <c r="Z29" s="31">
        <v>3</v>
      </c>
      <c r="AA29" s="142">
        <v>3</v>
      </c>
    </row>
    <row r="30" spans="1:27" ht="24.75" customHeight="1" thickBot="1">
      <c r="A30" s="589"/>
      <c r="B30" s="384" t="s">
        <v>43</v>
      </c>
      <c r="C30" s="46"/>
      <c r="D30" s="387"/>
      <c r="E30" s="47"/>
      <c r="F30" s="388"/>
      <c r="G30" s="389">
        <f>G29/J10</f>
        <v>30.166666666666668</v>
      </c>
      <c r="H30" s="46"/>
      <c r="I30" s="47"/>
      <c r="J30" s="47"/>
      <c r="K30" s="47"/>
      <c r="L30" s="47"/>
      <c r="M30" s="47"/>
      <c r="N30" s="47"/>
      <c r="O30" s="48"/>
      <c r="P30" s="49"/>
      <c r="Q30" s="388"/>
      <c r="R30" s="390">
        <f>SUM(R14:R25)/U10</f>
        <v>27.875</v>
      </c>
      <c r="S30" s="391"/>
      <c r="T30" s="47"/>
      <c r="U30" s="47"/>
      <c r="V30" s="47"/>
      <c r="W30" s="47"/>
      <c r="X30" s="47"/>
      <c r="Y30" s="47"/>
      <c r="Z30" s="48"/>
      <c r="AA30" s="49"/>
    </row>
    <row r="31" spans="1:27" ht="24.75" customHeight="1" thickBot="1">
      <c r="A31" s="590"/>
      <c r="B31" s="385" t="s">
        <v>44</v>
      </c>
      <c r="C31" s="57"/>
      <c r="D31" s="54"/>
      <c r="E31" s="43"/>
      <c r="F31" s="55"/>
      <c r="G31" s="56"/>
      <c r="H31" s="57"/>
      <c r="I31" s="43"/>
      <c r="J31" s="43"/>
      <c r="K31" s="43"/>
      <c r="L31" s="43"/>
      <c r="M31" s="43"/>
      <c r="N31" s="58"/>
      <c r="O31" s="39">
        <v>3</v>
      </c>
      <c r="P31" s="59"/>
      <c r="Q31" s="60"/>
      <c r="R31" s="61"/>
      <c r="S31" s="62"/>
      <c r="T31" s="62"/>
      <c r="U31" s="62"/>
      <c r="V31" s="62"/>
      <c r="W31" s="62"/>
      <c r="X31" s="62"/>
      <c r="Y31" s="58"/>
      <c r="Z31" s="39">
        <v>3</v>
      </c>
      <c r="AA31" s="144"/>
    </row>
    <row r="32" spans="1:27" ht="24.75" customHeight="1" thickBot="1">
      <c r="A32" s="590"/>
      <c r="B32" s="385" t="s">
        <v>45</v>
      </c>
      <c r="C32" s="57"/>
      <c r="D32" s="54"/>
      <c r="E32" s="43"/>
      <c r="F32" s="55"/>
      <c r="G32" s="58"/>
      <c r="H32" s="57"/>
      <c r="I32" s="43"/>
      <c r="J32" s="43"/>
      <c r="K32" s="43"/>
      <c r="L32" s="63"/>
      <c r="M32" s="43"/>
      <c r="N32" s="62"/>
      <c r="O32" s="56"/>
      <c r="P32" s="39">
        <v>5</v>
      </c>
      <c r="Q32" s="60"/>
      <c r="R32" s="62"/>
      <c r="S32" s="62"/>
      <c r="T32" s="62"/>
      <c r="U32" s="62"/>
      <c r="V32" s="62"/>
      <c r="W32" s="64"/>
      <c r="X32" s="62"/>
      <c r="Y32" s="62"/>
      <c r="Z32" s="56"/>
      <c r="AA32" s="39">
        <v>4</v>
      </c>
    </row>
    <row r="33" spans="1:27" ht="24.75" customHeight="1" thickBot="1">
      <c r="A33" s="590"/>
      <c r="B33" s="386" t="s">
        <v>46</v>
      </c>
      <c r="C33" s="68"/>
      <c r="D33" s="70"/>
      <c r="E33" s="69"/>
      <c r="F33" s="71"/>
      <c r="G33" s="70"/>
      <c r="H33" s="68"/>
      <c r="I33" s="69"/>
      <c r="J33" s="69"/>
      <c r="K33" s="70"/>
      <c r="L33" s="39">
        <v>1</v>
      </c>
      <c r="M33" s="71"/>
      <c r="N33" s="72"/>
      <c r="O33" s="72"/>
      <c r="P33" s="73"/>
      <c r="Q33" s="392"/>
      <c r="R33" s="72"/>
      <c r="S33" s="72"/>
      <c r="T33" s="72"/>
      <c r="U33" s="72"/>
      <c r="V33" s="393"/>
      <c r="W33" s="39">
        <v>1</v>
      </c>
      <c r="X33" s="71"/>
      <c r="Y33" s="69"/>
      <c r="Z33" s="72"/>
      <c r="AA33" s="73"/>
    </row>
    <row r="34" spans="1:27" ht="24.75" customHeight="1" thickBot="1">
      <c r="A34" s="591"/>
      <c r="B34" s="137" t="s">
        <v>47</v>
      </c>
      <c r="C34" s="77">
        <f>SUM(C30:C33)</f>
        <v>0</v>
      </c>
      <c r="D34" s="77">
        <f aca="true" t="shared" si="6" ref="D34:AA34">SUM(D30:D33)</f>
        <v>0</v>
      </c>
      <c r="E34" s="77">
        <f t="shared" si="6"/>
        <v>0</v>
      </c>
      <c r="F34" s="77">
        <f t="shared" si="6"/>
        <v>0</v>
      </c>
      <c r="G34" s="78">
        <f>SUM(G30:G33)</f>
        <v>30.166666666666668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2">
        <f t="shared" si="6"/>
        <v>0</v>
      </c>
      <c r="L34" s="39">
        <f t="shared" si="6"/>
        <v>1</v>
      </c>
      <c r="M34" s="38">
        <f t="shared" si="6"/>
        <v>0</v>
      </c>
      <c r="N34" s="31">
        <f t="shared" si="6"/>
        <v>0</v>
      </c>
      <c r="O34" s="31">
        <f t="shared" si="6"/>
        <v>3</v>
      </c>
      <c r="P34" s="31">
        <f t="shared" si="6"/>
        <v>5</v>
      </c>
      <c r="Q34" s="77">
        <f t="shared" si="6"/>
        <v>0</v>
      </c>
      <c r="R34" s="78">
        <f t="shared" si="6"/>
        <v>27.875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9">
        <f t="shared" si="6"/>
        <v>0</v>
      </c>
      <c r="W34" s="39">
        <f t="shared" si="6"/>
        <v>1</v>
      </c>
      <c r="X34" s="243">
        <f t="shared" si="6"/>
        <v>0</v>
      </c>
      <c r="Y34" s="77">
        <f t="shared" si="6"/>
        <v>0</v>
      </c>
      <c r="Z34" s="77">
        <f>SUM(Z30:Z33)</f>
        <v>3</v>
      </c>
      <c r="AA34" s="146">
        <f t="shared" si="6"/>
        <v>4</v>
      </c>
    </row>
    <row r="35" spans="1:27" ht="24.75" customHeight="1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6.25">
      <c r="A38" s="1"/>
      <c r="B38" s="82" t="s">
        <v>60</v>
      </c>
      <c r="C38" s="82"/>
      <c r="D38" s="82"/>
      <c r="E38" s="82"/>
      <c r="F38" s="82"/>
      <c r="G38" s="82"/>
      <c r="H38" s="82"/>
      <c r="I38" s="82"/>
      <c r="J38" s="82"/>
      <c r="K38" s="82" t="s">
        <v>59</v>
      </c>
      <c r="L38" s="82"/>
      <c r="M38" s="82"/>
      <c r="N38" s="82"/>
      <c r="O38" s="82"/>
      <c r="P38" s="82"/>
      <c r="Q38" s="82"/>
      <c r="R38" s="83"/>
      <c r="S38" s="83"/>
      <c r="T38" s="84"/>
      <c r="U38" s="85"/>
      <c r="V38" s="85"/>
      <c r="W38" s="85"/>
      <c r="X38" s="85"/>
      <c r="Y38" s="86"/>
      <c r="Z38" s="86"/>
      <c r="AA38" s="86"/>
    </row>
    <row r="39" spans="1:27" ht="26.25">
      <c r="A39" s="87"/>
      <c r="B39" s="592"/>
      <c r="C39" s="592"/>
      <c r="D39" s="592"/>
      <c r="E39" s="592"/>
      <c r="F39" s="592"/>
      <c r="G39" s="592"/>
      <c r="H39" s="592"/>
      <c r="I39" s="592"/>
      <c r="J39" s="592"/>
      <c r="K39" s="87"/>
      <c r="L39" s="87"/>
      <c r="M39" s="87"/>
      <c r="N39" s="87"/>
      <c r="O39" s="87"/>
      <c r="P39" s="87"/>
      <c r="Q39" s="87"/>
      <c r="R39" s="87" t="s">
        <v>48</v>
      </c>
      <c r="S39" s="89"/>
      <c r="T39" s="90" t="s">
        <v>49</v>
      </c>
      <c r="U39" s="91" t="s">
        <v>50</v>
      </c>
      <c r="V39" s="91"/>
      <c r="W39" s="91"/>
      <c r="X39" s="90"/>
      <c r="Y39" s="90"/>
      <c r="Z39" s="92"/>
      <c r="AA39" s="92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/>
      <c r="L40" s="82"/>
      <c r="M40" s="82"/>
      <c r="N40" s="82"/>
      <c r="O40" s="82"/>
      <c r="P40" s="82"/>
      <c r="Q40" s="82"/>
      <c r="R40" s="82"/>
      <c r="S40" s="82"/>
      <c r="T40" s="84"/>
      <c r="U40" s="84"/>
      <c r="V40" s="84"/>
      <c r="W40" s="84"/>
      <c r="X40" s="93"/>
      <c r="Y40" s="93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2" t="s">
        <v>51</v>
      </c>
      <c r="L41" s="82"/>
      <c r="M41" s="82"/>
      <c r="N41" s="82"/>
      <c r="O41" s="82"/>
      <c r="P41" s="82"/>
      <c r="Q41" s="82"/>
      <c r="R41" s="83"/>
      <c r="S41" s="83"/>
      <c r="T41" s="84"/>
      <c r="U41" s="85"/>
      <c r="V41" s="85"/>
      <c r="W41" s="85"/>
      <c r="X41" s="85"/>
      <c r="Y41" s="86"/>
      <c r="Z41" s="94"/>
      <c r="AA41" s="94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 t="s">
        <v>48</v>
      </c>
      <c r="S42" s="89"/>
      <c r="T42" s="90" t="s">
        <v>52</v>
      </c>
      <c r="U42" s="91" t="s">
        <v>50</v>
      </c>
      <c r="V42" s="91"/>
      <c r="W42" s="91"/>
      <c r="X42" s="90"/>
      <c r="Y42" s="90"/>
      <c r="Z42" s="94"/>
      <c r="AA42" s="94"/>
    </row>
  </sheetData>
  <sheetProtection/>
  <mergeCells count="42">
    <mergeCell ref="A30:A34"/>
    <mergeCell ref="B39:J39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55" zoomScaleNormal="55" zoomScalePageLayoutView="0" workbookViewId="0" topLeftCell="A1">
      <selection activeCell="AA44" sqref="A1:AA44"/>
    </sheetView>
  </sheetViews>
  <sheetFormatPr defaultColWidth="9.140625" defaultRowHeight="15"/>
  <cols>
    <col min="2" max="2" width="86.4218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238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239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121</v>
      </c>
      <c r="G10" s="573"/>
      <c r="H10" s="573"/>
      <c r="I10" s="573"/>
      <c r="J10" s="140">
        <v>11.5</v>
      </c>
      <c r="K10" s="573" t="s">
        <v>12</v>
      </c>
      <c r="L10" s="573"/>
      <c r="M10" s="573"/>
      <c r="N10" s="573"/>
      <c r="O10" s="573"/>
      <c r="P10" s="574"/>
      <c r="Q10" s="572" t="s">
        <v>122</v>
      </c>
      <c r="R10" s="573"/>
      <c r="S10" s="573"/>
      <c r="T10" s="574"/>
      <c r="U10" s="140">
        <v>12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123</v>
      </c>
      <c r="C14" s="339">
        <v>45</v>
      </c>
      <c r="D14" s="341">
        <f>E14/30</f>
        <v>1.5</v>
      </c>
      <c r="E14" s="7">
        <f aca="true" t="shared" si="0" ref="E14:E30">F14+Q14</f>
        <v>45</v>
      </c>
      <c r="F14" s="8">
        <f>G14+K14+N14+M14</f>
        <v>0</v>
      </c>
      <c r="G14" s="259">
        <f>H14+I14+J14</f>
        <v>0</v>
      </c>
      <c r="H14" s="349"/>
      <c r="I14" s="7"/>
      <c r="J14" s="11"/>
      <c r="K14" s="349"/>
      <c r="L14" s="7"/>
      <c r="M14" s="7"/>
      <c r="N14" s="7"/>
      <c r="O14" s="7"/>
      <c r="P14" s="8"/>
      <c r="Q14" s="346">
        <f aca="true" t="shared" si="1" ref="Q14:Q26">V14+X14+Y14+R14</f>
        <v>45</v>
      </c>
      <c r="R14" s="147">
        <f aca="true" t="shared" si="2" ref="R14:R30">S14+T14+U14</f>
        <v>30</v>
      </c>
      <c r="S14" s="10">
        <v>20</v>
      </c>
      <c r="T14" s="7"/>
      <c r="U14" s="8">
        <v>10</v>
      </c>
      <c r="V14" s="10">
        <v>15</v>
      </c>
      <c r="W14" s="7"/>
      <c r="X14" s="7"/>
      <c r="Y14" s="7"/>
      <c r="Z14" s="7"/>
      <c r="AA14" s="11" t="s">
        <v>67</v>
      </c>
    </row>
    <row r="15" spans="1:27" ht="24.75" customHeight="1">
      <c r="A15" s="326" t="s">
        <v>29</v>
      </c>
      <c r="B15" s="359" t="s">
        <v>131</v>
      </c>
      <c r="C15" s="358">
        <v>180</v>
      </c>
      <c r="D15" s="342">
        <f aca="true" t="shared" si="3" ref="D15:D29">E15/30</f>
        <v>1</v>
      </c>
      <c r="E15" s="13">
        <f t="shared" si="0"/>
        <v>30</v>
      </c>
      <c r="F15" s="14">
        <f>G15+K15+N15+M15</f>
        <v>30</v>
      </c>
      <c r="G15" s="301">
        <f aca="true" t="shared" si="4" ref="G15:G30">H15+I15+J15</f>
        <v>24</v>
      </c>
      <c r="H15" s="174"/>
      <c r="I15" s="110"/>
      <c r="J15" s="114">
        <v>24</v>
      </c>
      <c r="K15" s="174">
        <f>92-45-41</f>
        <v>6</v>
      </c>
      <c r="L15" s="110"/>
      <c r="M15" s="110"/>
      <c r="N15" s="110"/>
      <c r="O15" s="110"/>
      <c r="P15" s="111" t="s">
        <v>67</v>
      </c>
      <c r="Q15" s="347">
        <f t="shared" si="1"/>
        <v>0</v>
      </c>
      <c r="R15" s="148">
        <f t="shared" si="2"/>
        <v>0</v>
      </c>
      <c r="S15" s="113"/>
      <c r="T15" s="110"/>
      <c r="U15" s="111"/>
      <c r="V15" s="113"/>
      <c r="W15" s="110"/>
      <c r="X15" s="110"/>
      <c r="Y15" s="110"/>
      <c r="Z15" s="110"/>
      <c r="AA15" s="114"/>
    </row>
    <row r="16" spans="1:27" ht="24.75" customHeight="1">
      <c r="A16" s="326" t="s">
        <v>30</v>
      </c>
      <c r="B16" s="323" t="s">
        <v>240</v>
      </c>
      <c r="C16" s="340">
        <v>180</v>
      </c>
      <c r="D16" s="342">
        <f t="shared" si="3"/>
        <v>1</v>
      </c>
      <c r="E16" s="13">
        <f t="shared" si="0"/>
        <v>30</v>
      </c>
      <c r="F16" s="14">
        <f>G16+K16+N16+M16</f>
        <v>30</v>
      </c>
      <c r="G16" s="301">
        <f t="shared" si="4"/>
        <v>24</v>
      </c>
      <c r="H16" s="350"/>
      <c r="I16" s="13"/>
      <c r="J16" s="17">
        <v>24</v>
      </c>
      <c r="K16" s="350">
        <v>6</v>
      </c>
      <c r="L16" s="13"/>
      <c r="M16" s="13"/>
      <c r="N16" s="13"/>
      <c r="O16" s="13"/>
      <c r="P16" s="14" t="s">
        <v>67</v>
      </c>
      <c r="Q16" s="347">
        <f t="shared" si="1"/>
        <v>0</v>
      </c>
      <c r="R16" s="148">
        <f t="shared" si="2"/>
        <v>0</v>
      </c>
      <c r="S16" s="16"/>
      <c r="T16" s="13"/>
      <c r="U16" s="14"/>
      <c r="V16" s="16"/>
      <c r="W16" s="13"/>
      <c r="X16" s="13"/>
      <c r="Y16" s="13"/>
      <c r="Z16" s="13"/>
      <c r="AA16" s="17"/>
    </row>
    <row r="17" spans="1:27" ht="24.75" customHeight="1">
      <c r="A17" s="326" t="s">
        <v>31</v>
      </c>
      <c r="B17" s="323" t="s">
        <v>241</v>
      </c>
      <c r="C17" s="340">
        <v>45</v>
      </c>
      <c r="D17" s="342">
        <f t="shared" si="3"/>
        <v>1.5</v>
      </c>
      <c r="E17" s="13">
        <f t="shared" si="0"/>
        <v>45</v>
      </c>
      <c r="F17" s="14">
        <f aca="true" t="shared" si="5" ref="F17:F29">G17+K17+N17+M17</f>
        <v>45</v>
      </c>
      <c r="G17" s="301">
        <f t="shared" si="4"/>
        <v>24</v>
      </c>
      <c r="H17" s="350">
        <v>16</v>
      </c>
      <c r="I17" s="13"/>
      <c r="J17" s="17">
        <v>8</v>
      </c>
      <c r="K17" s="350">
        <v>21</v>
      </c>
      <c r="L17" s="13"/>
      <c r="M17" s="13"/>
      <c r="N17" s="13"/>
      <c r="O17" s="13"/>
      <c r="P17" s="14" t="s">
        <v>67</v>
      </c>
      <c r="Q17" s="347">
        <f t="shared" si="1"/>
        <v>0</v>
      </c>
      <c r="R17" s="148">
        <f t="shared" si="2"/>
        <v>0</v>
      </c>
      <c r="S17" s="16"/>
      <c r="T17" s="13"/>
      <c r="U17" s="14"/>
      <c r="V17" s="16"/>
      <c r="W17" s="13"/>
      <c r="X17" s="13"/>
      <c r="Y17" s="13"/>
      <c r="Z17" s="13"/>
      <c r="AA17" s="17"/>
    </row>
    <row r="18" spans="1:27" ht="24.75" customHeight="1">
      <c r="A18" s="326" t="s">
        <v>32</v>
      </c>
      <c r="B18" s="323" t="s">
        <v>242</v>
      </c>
      <c r="C18" s="340">
        <v>90</v>
      </c>
      <c r="D18" s="342">
        <f t="shared" si="3"/>
        <v>3</v>
      </c>
      <c r="E18" s="13">
        <f t="shared" si="0"/>
        <v>90</v>
      </c>
      <c r="F18" s="14">
        <f>G18+K18+N18+M18</f>
        <v>90</v>
      </c>
      <c r="G18" s="301">
        <f t="shared" si="4"/>
        <v>46</v>
      </c>
      <c r="H18" s="350">
        <v>26</v>
      </c>
      <c r="I18" s="13"/>
      <c r="J18" s="17">
        <v>20</v>
      </c>
      <c r="K18" s="350">
        <v>44</v>
      </c>
      <c r="L18" s="13"/>
      <c r="M18" s="13"/>
      <c r="N18" s="13"/>
      <c r="O18" s="13" t="s">
        <v>69</v>
      </c>
      <c r="P18" s="14"/>
      <c r="Q18" s="347">
        <f t="shared" si="1"/>
        <v>0</v>
      </c>
      <c r="R18" s="148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3" t="s">
        <v>126</v>
      </c>
      <c r="C19" s="340">
        <v>90</v>
      </c>
      <c r="D19" s="342">
        <f t="shared" si="3"/>
        <v>3</v>
      </c>
      <c r="E19" s="13">
        <f t="shared" si="0"/>
        <v>90</v>
      </c>
      <c r="F19" s="14">
        <f t="shared" si="5"/>
        <v>90</v>
      </c>
      <c r="G19" s="301">
        <f t="shared" si="4"/>
        <v>46</v>
      </c>
      <c r="H19" s="350">
        <v>28</v>
      </c>
      <c r="I19" s="13"/>
      <c r="J19" s="17">
        <v>18</v>
      </c>
      <c r="K19" s="350">
        <v>44</v>
      </c>
      <c r="L19" s="13"/>
      <c r="M19" s="13"/>
      <c r="N19" s="13"/>
      <c r="O19" s="13" t="s">
        <v>70</v>
      </c>
      <c r="P19" s="14"/>
      <c r="Q19" s="347">
        <f t="shared" si="1"/>
        <v>0</v>
      </c>
      <c r="R19" s="148">
        <f t="shared" si="2"/>
        <v>0</v>
      </c>
      <c r="S19" s="16"/>
      <c r="T19" s="13"/>
      <c r="U19" s="14"/>
      <c r="V19" s="16"/>
      <c r="W19" s="13"/>
      <c r="X19" s="13"/>
      <c r="Y19" s="13"/>
      <c r="Z19" s="13"/>
      <c r="AA19" s="17"/>
    </row>
    <row r="20" spans="1:27" ht="24.75" customHeight="1">
      <c r="A20" s="326" t="s">
        <v>34</v>
      </c>
      <c r="B20" s="323" t="s">
        <v>243</v>
      </c>
      <c r="C20" s="340">
        <v>120</v>
      </c>
      <c r="D20" s="342">
        <f t="shared" si="3"/>
        <v>4</v>
      </c>
      <c r="E20" s="13">
        <f t="shared" si="0"/>
        <v>120</v>
      </c>
      <c r="F20" s="14">
        <f t="shared" si="5"/>
        <v>120</v>
      </c>
      <c r="G20" s="301">
        <f t="shared" si="4"/>
        <v>68</v>
      </c>
      <c r="H20" s="350">
        <v>38</v>
      </c>
      <c r="I20" s="13">
        <v>18</v>
      </c>
      <c r="J20" s="17">
        <v>12</v>
      </c>
      <c r="K20" s="350">
        <v>52</v>
      </c>
      <c r="L20" s="13"/>
      <c r="M20" s="13"/>
      <c r="N20" s="13"/>
      <c r="O20" s="13" t="s">
        <v>70</v>
      </c>
      <c r="P20" s="14"/>
      <c r="Q20" s="347">
        <f t="shared" si="1"/>
        <v>0</v>
      </c>
      <c r="R20" s="148">
        <f t="shared" si="2"/>
        <v>0</v>
      </c>
      <c r="S20" s="16"/>
      <c r="T20" s="13"/>
      <c r="U20" s="14"/>
      <c r="V20" s="16"/>
      <c r="W20" s="13"/>
      <c r="X20" s="13"/>
      <c r="Y20" s="13"/>
      <c r="Z20" s="13"/>
      <c r="AA20" s="17"/>
    </row>
    <row r="21" spans="1:27" ht="24.75" customHeight="1">
      <c r="A21" s="326" t="s">
        <v>35</v>
      </c>
      <c r="B21" s="323" t="s">
        <v>368</v>
      </c>
      <c r="C21" s="340">
        <v>120</v>
      </c>
      <c r="D21" s="342">
        <f t="shared" si="3"/>
        <v>4</v>
      </c>
      <c r="E21" s="13">
        <f t="shared" si="0"/>
        <v>120</v>
      </c>
      <c r="F21" s="14">
        <f t="shared" si="5"/>
        <v>120</v>
      </c>
      <c r="G21" s="301">
        <f t="shared" si="4"/>
        <v>58</v>
      </c>
      <c r="H21" s="350">
        <v>36</v>
      </c>
      <c r="I21" s="13"/>
      <c r="J21" s="17">
        <v>22</v>
      </c>
      <c r="K21" s="350">
        <v>62</v>
      </c>
      <c r="L21" s="13"/>
      <c r="M21" s="13"/>
      <c r="N21" s="13"/>
      <c r="O21" s="13" t="s">
        <v>70</v>
      </c>
      <c r="P21" s="14"/>
      <c r="Q21" s="347">
        <f t="shared" si="1"/>
        <v>0</v>
      </c>
      <c r="R21" s="148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326" t="s">
        <v>36</v>
      </c>
      <c r="B22" s="323" t="s">
        <v>244</v>
      </c>
      <c r="C22" s="340">
        <v>120</v>
      </c>
      <c r="D22" s="342">
        <f t="shared" si="3"/>
        <v>4</v>
      </c>
      <c r="E22" s="13">
        <f t="shared" si="0"/>
        <v>120</v>
      </c>
      <c r="F22" s="14">
        <f t="shared" si="5"/>
        <v>0</v>
      </c>
      <c r="G22" s="301">
        <f t="shared" si="4"/>
        <v>0</v>
      </c>
      <c r="H22" s="350"/>
      <c r="I22" s="13"/>
      <c r="J22" s="17"/>
      <c r="K22" s="350"/>
      <c r="L22" s="13"/>
      <c r="M22" s="13"/>
      <c r="N22" s="13"/>
      <c r="O22" s="13"/>
      <c r="P22" s="14"/>
      <c r="Q22" s="347">
        <f t="shared" si="1"/>
        <v>120</v>
      </c>
      <c r="R22" s="148">
        <f t="shared" si="2"/>
        <v>60</v>
      </c>
      <c r="S22" s="16">
        <v>42</v>
      </c>
      <c r="T22" s="13"/>
      <c r="U22" s="14">
        <v>18</v>
      </c>
      <c r="V22" s="16">
        <v>60</v>
      </c>
      <c r="W22" s="13"/>
      <c r="X22" s="13"/>
      <c r="Y22" s="13"/>
      <c r="Z22" s="13" t="s">
        <v>70</v>
      </c>
      <c r="AA22" s="17"/>
    </row>
    <row r="23" spans="1:27" ht="24.75" customHeight="1">
      <c r="A23" s="326" t="s">
        <v>37</v>
      </c>
      <c r="B23" s="324" t="s">
        <v>245</v>
      </c>
      <c r="C23" s="340">
        <v>75</v>
      </c>
      <c r="D23" s="342">
        <f t="shared" si="3"/>
        <v>2.5</v>
      </c>
      <c r="E23" s="13">
        <f t="shared" si="0"/>
        <v>75</v>
      </c>
      <c r="F23" s="14">
        <f t="shared" si="5"/>
        <v>0</v>
      </c>
      <c r="G23" s="301">
        <f t="shared" si="4"/>
        <v>0</v>
      </c>
      <c r="H23" s="354"/>
      <c r="I23" s="13"/>
      <c r="J23" s="17"/>
      <c r="K23" s="350"/>
      <c r="L23" s="13"/>
      <c r="M23" s="13"/>
      <c r="N23" s="13"/>
      <c r="O23" s="13"/>
      <c r="P23" s="14"/>
      <c r="Q23" s="347">
        <f t="shared" si="1"/>
        <v>75</v>
      </c>
      <c r="R23" s="148">
        <f t="shared" si="2"/>
        <v>54</v>
      </c>
      <c r="S23" s="167">
        <v>42</v>
      </c>
      <c r="T23" s="13"/>
      <c r="U23" s="14">
        <v>12</v>
      </c>
      <c r="V23" s="16">
        <v>21</v>
      </c>
      <c r="W23" s="13"/>
      <c r="X23" s="13"/>
      <c r="Y23" s="13"/>
      <c r="Z23" s="13" t="s">
        <v>70</v>
      </c>
      <c r="AA23" s="17"/>
    </row>
    <row r="24" spans="1:27" ht="24.75" customHeight="1">
      <c r="A24" s="326" t="s">
        <v>38</v>
      </c>
      <c r="B24" s="324" t="s">
        <v>247</v>
      </c>
      <c r="C24" s="340">
        <v>120</v>
      </c>
      <c r="D24" s="342">
        <f t="shared" si="3"/>
        <v>4</v>
      </c>
      <c r="E24" s="13">
        <f t="shared" si="0"/>
        <v>120</v>
      </c>
      <c r="F24" s="14">
        <f t="shared" si="5"/>
        <v>0</v>
      </c>
      <c r="G24" s="301">
        <f t="shared" si="4"/>
        <v>0</v>
      </c>
      <c r="H24" s="354"/>
      <c r="I24" s="13"/>
      <c r="J24" s="17"/>
      <c r="K24" s="350"/>
      <c r="L24" s="13"/>
      <c r="M24" s="13"/>
      <c r="N24" s="13"/>
      <c r="O24" s="13"/>
      <c r="P24" s="14"/>
      <c r="Q24" s="347">
        <f t="shared" si="1"/>
        <v>120</v>
      </c>
      <c r="R24" s="148">
        <f t="shared" si="2"/>
        <v>78</v>
      </c>
      <c r="S24" s="167">
        <v>42</v>
      </c>
      <c r="T24" s="13">
        <v>30</v>
      </c>
      <c r="U24" s="14">
        <v>6</v>
      </c>
      <c r="V24" s="16">
        <v>42</v>
      </c>
      <c r="W24" s="13"/>
      <c r="X24" s="13"/>
      <c r="Y24" s="13"/>
      <c r="Z24" s="13"/>
      <c r="AA24" s="17" t="s">
        <v>67</v>
      </c>
    </row>
    <row r="25" spans="1:27" ht="24.75" customHeight="1">
      <c r="A25" s="362" t="s">
        <v>39</v>
      </c>
      <c r="B25" s="445" t="s">
        <v>249</v>
      </c>
      <c r="C25" s="363">
        <v>90</v>
      </c>
      <c r="D25" s="342">
        <f t="shared" si="3"/>
        <v>3</v>
      </c>
      <c r="E25" s="13">
        <f t="shared" si="0"/>
        <v>90</v>
      </c>
      <c r="F25" s="14">
        <f t="shared" si="5"/>
        <v>0</v>
      </c>
      <c r="G25" s="301">
        <f t="shared" si="4"/>
        <v>0</v>
      </c>
      <c r="H25" s="446"/>
      <c r="I25" s="172"/>
      <c r="J25" s="184"/>
      <c r="K25" s="365"/>
      <c r="L25" s="172"/>
      <c r="M25" s="172"/>
      <c r="N25" s="172"/>
      <c r="O25" s="172"/>
      <c r="P25" s="173"/>
      <c r="Q25" s="347">
        <f t="shared" si="1"/>
        <v>90</v>
      </c>
      <c r="R25" s="148">
        <f t="shared" si="2"/>
        <v>48</v>
      </c>
      <c r="S25" s="421">
        <v>32</v>
      </c>
      <c r="T25" s="172"/>
      <c r="U25" s="173">
        <v>16</v>
      </c>
      <c r="V25" s="176">
        <v>42</v>
      </c>
      <c r="W25" s="172"/>
      <c r="X25" s="172"/>
      <c r="Y25" s="172"/>
      <c r="Z25" s="172"/>
      <c r="AA25" s="184" t="s">
        <v>67</v>
      </c>
    </row>
    <row r="26" spans="1:27" ht="24.75" customHeight="1" thickBot="1">
      <c r="A26" s="362" t="s">
        <v>40</v>
      </c>
      <c r="B26" s="169" t="s">
        <v>248</v>
      </c>
      <c r="C26" s="363">
        <v>120</v>
      </c>
      <c r="D26" s="364">
        <f t="shared" si="3"/>
        <v>4</v>
      </c>
      <c r="E26" s="172">
        <f t="shared" si="0"/>
        <v>120</v>
      </c>
      <c r="F26" s="173">
        <f t="shared" si="5"/>
        <v>0</v>
      </c>
      <c r="G26" s="303">
        <f t="shared" si="4"/>
        <v>0</v>
      </c>
      <c r="H26" s="365"/>
      <c r="I26" s="172"/>
      <c r="J26" s="184"/>
      <c r="K26" s="365"/>
      <c r="L26" s="172"/>
      <c r="M26" s="172"/>
      <c r="N26" s="172"/>
      <c r="O26" s="172"/>
      <c r="P26" s="173"/>
      <c r="Q26" s="366">
        <f t="shared" si="1"/>
        <v>120</v>
      </c>
      <c r="R26" s="367">
        <f t="shared" si="2"/>
        <v>78</v>
      </c>
      <c r="S26" s="176">
        <v>42</v>
      </c>
      <c r="T26" s="295"/>
      <c r="U26" s="178">
        <v>36</v>
      </c>
      <c r="V26" s="182">
        <v>42</v>
      </c>
      <c r="W26" s="172"/>
      <c r="X26" s="172"/>
      <c r="Y26" s="172"/>
      <c r="Z26" s="172" t="s">
        <v>70</v>
      </c>
      <c r="AA26" s="276"/>
    </row>
    <row r="27" spans="1:27" ht="24.75" customHeight="1" thickBot="1">
      <c r="A27" s="374" t="s">
        <v>41</v>
      </c>
      <c r="B27" s="375" t="s">
        <v>366</v>
      </c>
      <c r="C27" s="217">
        <v>150</v>
      </c>
      <c r="D27" s="463">
        <f t="shared" si="3"/>
        <v>5</v>
      </c>
      <c r="E27" s="464">
        <f t="shared" si="0"/>
        <v>150</v>
      </c>
      <c r="F27" s="465">
        <f t="shared" si="5"/>
        <v>150</v>
      </c>
      <c r="G27" s="376">
        <f t="shared" si="4"/>
        <v>60</v>
      </c>
      <c r="H27" s="377">
        <v>30</v>
      </c>
      <c r="I27" s="219"/>
      <c r="J27" s="227">
        <v>30</v>
      </c>
      <c r="K27" s="377">
        <v>90</v>
      </c>
      <c r="L27" s="219"/>
      <c r="M27" s="219"/>
      <c r="N27" s="219"/>
      <c r="O27" s="219"/>
      <c r="P27" s="220" t="s">
        <v>67</v>
      </c>
      <c r="Q27" s="378">
        <f>V27+W27+X27+Y27+R27</f>
        <v>0</v>
      </c>
      <c r="R27" s="379">
        <f t="shared" si="2"/>
        <v>0</v>
      </c>
      <c r="S27" s="222"/>
      <c r="T27" s="224"/>
      <c r="U27" s="225"/>
      <c r="V27" s="226"/>
      <c r="W27" s="219"/>
      <c r="X27" s="219"/>
      <c r="Y27" s="219"/>
      <c r="Z27" s="219"/>
      <c r="AA27" s="227"/>
    </row>
    <row r="28" spans="1:27" s="239" customFormat="1" ht="24.75" customHeight="1" thickBot="1">
      <c r="A28" s="368" t="s">
        <v>55</v>
      </c>
      <c r="B28" s="369" t="s">
        <v>217</v>
      </c>
      <c r="C28" s="459">
        <v>180</v>
      </c>
      <c r="D28" s="427">
        <f t="shared" si="3"/>
        <v>6</v>
      </c>
      <c r="E28" s="424">
        <f t="shared" si="0"/>
        <v>180</v>
      </c>
      <c r="F28" s="322">
        <f t="shared" si="5"/>
        <v>0</v>
      </c>
      <c r="G28" s="462">
        <f t="shared" si="4"/>
        <v>0</v>
      </c>
      <c r="H28" s="372"/>
      <c r="I28" s="370"/>
      <c r="J28" s="249"/>
      <c r="K28" s="372"/>
      <c r="L28" s="370"/>
      <c r="M28" s="370"/>
      <c r="N28" s="370"/>
      <c r="O28" s="370"/>
      <c r="P28" s="371"/>
      <c r="Q28" s="380">
        <f>V28+X28+Y28+R28</f>
        <v>180</v>
      </c>
      <c r="R28" s="351">
        <f t="shared" si="2"/>
        <v>120</v>
      </c>
      <c r="S28" s="373"/>
      <c r="T28" s="370"/>
      <c r="U28" s="371">
        <f>4*30</f>
        <v>120</v>
      </c>
      <c r="V28" s="373">
        <v>60</v>
      </c>
      <c r="W28" s="370"/>
      <c r="X28" s="370"/>
      <c r="Y28" s="370"/>
      <c r="Z28" s="370"/>
      <c r="AA28" s="249" t="s">
        <v>67</v>
      </c>
    </row>
    <row r="29" spans="1:27" s="239" customFormat="1" ht="24.75" customHeight="1" thickBot="1">
      <c r="A29" s="336" t="s">
        <v>56</v>
      </c>
      <c r="B29" s="360" t="s">
        <v>246</v>
      </c>
      <c r="C29" s="460">
        <v>120</v>
      </c>
      <c r="D29" s="119">
        <f t="shared" si="3"/>
        <v>5.5</v>
      </c>
      <c r="E29" s="120">
        <f t="shared" si="0"/>
        <v>165</v>
      </c>
      <c r="F29" s="121">
        <f t="shared" si="5"/>
        <v>165</v>
      </c>
      <c r="G29" s="462">
        <f t="shared" si="4"/>
        <v>120</v>
      </c>
      <c r="H29" s="175"/>
      <c r="I29" s="120"/>
      <c r="J29" s="121">
        <v>120</v>
      </c>
      <c r="K29" s="175">
        <v>45</v>
      </c>
      <c r="L29" s="120"/>
      <c r="M29" s="120"/>
      <c r="N29" s="120"/>
      <c r="O29" s="120"/>
      <c r="P29" s="21" t="s">
        <v>67</v>
      </c>
      <c r="Q29" s="380">
        <f>V29+X29+Y29+R29</f>
        <v>0</v>
      </c>
      <c r="R29" s="351">
        <f t="shared" si="2"/>
        <v>0</v>
      </c>
      <c r="S29" s="119"/>
      <c r="T29" s="120"/>
      <c r="U29" s="21"/>
      <c r="V29" s="119"/>
      <c r="W29" s="120"/>
      <c r="X29" s="120"/>
      <c r="Y29" s="120"/>
      <c r="Z29" s="120"/>
      <c r="AA29" s="121"/>
    </row>
    <row r="30" spans="1:27" s="239" customFormat="1" ht="24.75" customHeight="1" thickBot="1">
      <c r="A30" s="337" t="s">
        <v>57</v>
      </c>
      <c r="B30" s="361" t="s">
        <v>218</v>
      </c>
      <c r="C30" s="461">
        <v>30</v>
      </c>
      <c r="D30" s="106">
        <f>E30/30</f>
        <v>1</v>
      </c>
      <c r="E30" s="105">
        <f t="shared" si="0"/>
        <v>30</v>
      </c>
      <c r="F30" s="107">
        <f>G30+K30+N30+M30</f>
        <v>0</v>
      </c>
      <c r="G30" s="462">
        <f t="shared" si="4"/>
        <v>0</v>
      </c>
      <c r="H30" s="352"/>
      <c r="I30" s="344"/>
      <c r="J30" s="345"/>
      <c r="K30" s="352"/>
      <c r="L30" s="344"/>
      <c r="M30" s="344"/>
      <c r="N30" s="344"/>
      <c r="O30" s="344"/>
      <c r="P30" s="353"/>
      <c r="Q30" s="380">
        <f>V30+X30+Y30+R30</f>
        <v>30</v>
      </c>
      <c r="R30" s="351">
        <f t="shared" si="2"/>
        <v>30</v>
      </c>
      <c r="S30" s="343"/>
      <c r="T30" s="355"/>
      <c r="U30" s="356">
        <v>30</v>
      </c>
      <c r="V30" s="357"/>
      <c r="W30" s="344"/>
      <c r="X30" s="344"/>
      <c r="Y30" s="344"/>
      <c r="Z30" s="105"/>
      <c r="AA30" s="345"/>
    </row>
    <row r="31" spans="1:27" ht="24.75" customHeight="1" thickBot="1">
      <c r="A31" s="28"/>
      <c r="B31" s="241" t="s">
        <v>42</v>
      </c>
      <c r="C31" s="33">
        <f>SUM(C14:C30)</f>
        <v>1875</v>
      </c>
      <c r="D31" s="38">
        <f>SUM(D14:D30)</f>
        <v>54</v>
      </c>
      <c r="E31" s="31">
        <f>SUM(E14:E30)</f>
        <v>1620</v>
      </c>
      <c r="F31" s="32">
        <f>SUM(F14:F30)</f>
        <v>840</v>
      </c>
      <c r="G31" s="33">
        <f>SUM(G14:G27)</f>
        <v>350</v>
      </c>
      <c r="H31" s="38">
        <f>SUM(H14:H30)</f>
        <v>174</v>
      </c>
      <c r="I31" s="31">
        <f>SUM(I14:I30)</f>
        <v>18</v>
      </c>
      <c r="J31" s="31">
        <f>SUM(J14:J30)</f>
        <v>278</v>
      </c>
      <c r="K31" s="31">
        <f>SUM(K14:K30)</f>
        <v>370</v>
      </c>
      <c r="L31" s="31">
        <v>0</v>
      </c>
      <c r="M31" s="31">
        <f>SUM(M14:M30)</f>
        <v>0</v>
      </c>
      <c r="N31" s="31">
        <f>SUM(N14:N30)</f>
        <v>0</v>
      </c>
      <c r="O31" s="31">
        <v>4</v>
      </c>
      <c r="P31" s="32">
        <v>4</v>
      </c>
      <c r="Q31" s="33">
        <f>SUM(Q14:Q30)</f>
        <v>780</v>
      </c>
      <c r="R31" s="37">
        <f>SUM(R14:R27)</f>
        <v>348</v>
      </c>
      <c r="S31" s="38">
        <f>SUM(S14:S30)</f>
        <v>220</v>
      </c>
      <c r="T31" s="31">
        <f>SUM(T14:T30)</f>
        <v>30</v>
      </c>
      <c r="U31" s="31">
        <f>SUM(U14:U30)</f>
        <v>248</v>
      </c>
      <c r="V31" s="31">
        <f>SUM(V14:V30)</f>
        <v>282</v>
      </c>
      <c r="W31" s="31">
        <v>0</v>
      </c>
      <c r="X31" s="31">
        <v>0</v>
      </c>
      <c r="Y31" s="31">
        <v>0</v>
      </c>
      <c r="Z31" s="31">
        <v>3</v>
      </c>
      <c r="AA31" s="142">
        <v>3</v>
      </c>
    </row>
    <row r="32" spans="1:27" ht="24.75" customHeight="1" thickBot="1">
      <c r="A32" s="589"/>
      <c r="B32" s="384" t="s">
        <v>43</v>
      </c>
      <c r="C32" s="46"/>
      <c r="D32" s="387"/>
      <c r="E32" s="47"/>
      <c r="F32" s="388"/>
      <c r="G32" s="389">
        <f>G31/J10</f>
        <v>30.434782608695652</v>
      </c>
      <c r="H32" s="46"/>
      <c r="I32" s="47"/>
      <c r="J32" s="47"/>
      <c r="K32" s="47"/>
      <c r="L32" s="47"/>
      <c r="M32" s="47"/>
      <c r="N32" s="47"/>
      <c r="O32" s="48"/>
      <c r="P32" s="49"/>
      <c r="Q32" s="388"/>
      <c r="R32" s="390">
        <f>SUM(R14:R27)/U10</f>
        <v>29</v>
      </c>
      <c r="S32" s="391"/>
      <c r="T32" s="47"/>
      <c r="U32" s="47"/>
      <c r="V32" s="47"/>
      <c r="W32" s="47"/>
      <c r="X32" s="47"/>
      <c r="Y32" s="47"/>
      <c r="Z32" s="48"/>
      <c r="AA32" s="49"/>
    </row>
    <row r="33" spans="1:27" ht="24.75" customHeight="1" thickBot="1">
      <c r="A33" s="590"/>
      <c r="B33" s="385" t="s">
        <v>44</v>
      </c>
      <c r="C33" s="57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4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3</v>
      </c>
      <c r="AA33" s="144"/>
    </row>
    <row r="34" spans="1:27" ht="24.75" customHeight="1" thickBot="1">
      <c r="A34" s="590"/>
      <c r="B34" s="385" t="s">
        <v>45</v>
      </c>
      <c r="C34" s="57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5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4</v>
      </c>
    </row>
    <row r="35" spans="1:27" ht="24.75" customHeight="1" thickBot="1">
      <c r="A35" s="590"/>
      <c r="B35" s="386" t="s">
        <v>46</v>
      </c>
      <c r="C35" s="68"/>
      <c r="D35" s="70"/>
      <c r="E35" s="69"/>
      <c r="F35" s="71"/>
      <c r="G35" s="70"/>
      <c r="H35" s="68"/>
      <c r="I35" s="69"/>
      <c r="J35" s="69"/>
      <c r="K35" s="70"/>
      <c r="L35" s="39">
        <v>0</v>
      </c>
      <c r="M35" s="71"/>
      <c r="N35" s="72"/>
      <c r="O35" s="72"/>
      <c r="P35" s="73"/>
      <c r="Q35" s="392"/>
      <c r="R35" s="72"/>
      <c r="S35" s="72"/>
      <c r="T35" s="72"/>
      <c r="U35" s="72"/>
      <c r="V35" s="393"/>
      <c r="W35" s="39">
        <v>0</v>
      </c>
      <c r="X35" s="71"/>
      <c r="Y35" s="69"/>
      <c r="Z35" s="72"/>
      <c r="AA35" s="73"/>
    </row>
    <row r="36" spans="1:27" ht="24.75" customHeight="1" thickBot="1">
      <c r="A36" s="591"/>
      <c r="B36" s="137" t="s">
        <v>47</v>
      </c>
      <c r="C36" s="77">
        <f>SUM(C32:C35)</f>
        <v>0</v>
      </c>
      <c r="D36" s="77">
        <f aca="true" t="shared" si="6" ref="D36:AA36">SUM(D32:D35)</f>
        <v>0</v>
      </c>
      <c r="E36" s="77">
        <f t="shared" si="6"/>
        <v>0</v>
      </c>
      <c r="F36" s="77">
        <f t="shared" si="6"/>
        <v>0</v>
      </c>
      <c r="G36" s="78">
        <f>SUM(G32:G35)</f>
        <v>30.434782608695652</v>
      </c>
      <c r="H36" s="31">
        <f t="shared" si="6"/>
        <v>0</v>
      </c>
      <c r="I36" s="31">
        <f t="shared" si="6"/>
        <v>0</v>
      </c>
      <c r="J36" s="31">
        <f t="shared" si="6"/>
        <v>0</v>
      </c>
      <c r="K36" s="32">
        <f t="shared" si="6"/>
        <v>0</v>
      </c>
      <c r="L36" s="39">
        <f t="shared" si="6"/>
        <v>0</v>
      </c>
      <c r="M36" s="38">
        <f t="shared" si="6"/>
        <v>0</v>
      </c>
      <c r="N36" s="31">
        <f t="shared" si="6"/>
        <v>0</v>
      </c>
      <c r="O36" s="31">
        <f t="shared" si="6"/>
        <v>4</v>
      </c>
      <c r="P36" s="31">
        <f t="shared" si="6"/>
        <v>5</v>
      </c>
      <c r="Q36" s="77">
        <f t="shared" si="6"/>
        <v>0</v>
      </c>
      <c r="R36" s="78">
        <f t="shared" si="6"/>
        <v>29</v>
      </c>
      <c r="S36" s="77">
        <f t="shared" si="6"/>
        <v>0</v>
      </c>
      <c r="T36" s="77">
        <f t="shared" si="6"/>
        <v>0</v>
      </c>
      <c r="U36" s="77">
        <f t="shared" si="6"/>
        <v>0</v>
      </c>
      <c r="V36" s="79">
        <f t="shared" si="6"/>
        <v>0</v>
      </c>
      <c r="W36" s="39">
        <f t="shared" si="6"/>
        <v>0</v>
      </c>
      <c r="X36" s="243">
        <f t="shared" si="6"/>
        <v>0</v>
      </c>
      <c r="Y36" s="77">
        <f t="shared" si="6"/>
        <v>0</v>
      </c>
      <c r="Z36" s="77">
        <f>SUM(Z32:Z35)</f>
        <v>3</v>
      </c>
      <c r="AA36" s="146">
        <f t="shared" si="6"/>
        <v>4</v>
      </c>
    </row>
    <row r="37" spans="1:27" ht="24.75" customHeight="1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1"/>
  <sheetViews>
    <sheetView zoomScale="55" zoomScaleNormal="55" zoomScalePageLayoutView="0" workbookViewId="0" topLeftCell="A1">
      <selection activeCell="AA41" sqref="A1:AA41"/>
    </sheetView>
  </sheetViews>
  <sheetFormatPr defaultColWidth="9.140625" defaultRowHeight="15"/>
  <cols>
    <col min="2" max="2" width="82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292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293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121</v>
      </c>
      <c r="G10" s="573"/>
      <c r="H10" s="573"/>
      <c r="I10" s="573"/>
      <c r="J10" s="140">
        <v>12</v>
      </c>
      <c r="K10" s="573" t="s">
        <v>12</v>
      </c>
      <c r="L10" s="573"/>
      <c r="M10" s="573"/>
      <c r="N10" s="573"/>
      <c r="O10" s="573"/>
      <c r="P10" s="574"/>
      <c r="Q10" s="572" t="s">
        <v>122</v>
      </c>
      <c r="R10" s="573"/>
      <c r="S10" s="573"/>
      <c r="T10" s="574"/>
      <c r="U10" s="140">
        <v>10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26" t="s">
        <v>28</v>
      </c>
      <c r="B14" s="323" t="s">
        <v>123</v>
      </c>
      <c r="C14" s="158">
        <v>45</v>
      </c>
      <c r="D14" s="342">
        <f aca="true" t="shared" si="0" ref="D14:D26">E14/30</f>
        <v>1.5</v>
      </c>
      <c r="E14" s="13">
        <f aca="true" t="shared" si="1" ref="E14:E27">F14+Q14</f>
        <v>45</v>
      </c>
      <c r="F14" s="14">
        <f>G14+K14+N14+M14</f>
        <v>0</v>
      </c>
      <c r="G14" s="301">
        <f aca="true" t="shared" si="2" ref="G14:G27">H14+I14+J14</f>
        <v>0</v>
      </c>
      <c r="H14" s="10"/>
      <c r="I14" s="7"/>
      <c r="J14" s="11"/>
      <c r="K14" s="10"/>
      <c r="L14" s="7"/>
      <c r="M14" s="7"/>
      <c r="N14" s="7"/>
      <c r="O14" s="7"/>
      <c r="P14" s="11"/>
      <c r="Q14" s="347">
        <f aca="true" t="shared" si="3" ref="Q14:Q23">V14+X14+Y14+R14</f>
        <v>45</v>
      </c>
      <c r="R14" s="148">
        <f aca="true" t="shared" si="4" ref="R14:R27">S14+T14+U14</f>
        <v>30</v>
      </c>
      <c r="S14" s="10">
        <v>14</v>
      </c>
      <c r="T14" s="7"/>
      <c r="U14" s="11">
        <v>16</v>
      </c>
      <c r="V14" s="10">
        <v>15</v>
      </c>
      <c r="W14" s="7"/>
      <c r="X14" s="7"/>
      <c r="Y14" s="7"/>
      <c r="Z14" s="7"/>
      <c r="AA14" s="11" t="s">
        <v>67</v>
      </c>
    </row>
    <row r="15" spans="1:27" ht="24.75" customHeight="1">
      <c r="A15" s="326" t="s">
        <v>29</v>
      </c>
      <c r="B15" s="323" t="s">
        <v>131</v>
      </c>
      <c r="C15" s="159">
        <v>135</v>
      </c>
      <c r="D15" s="342">
        <f t="shared" si="0"/>
        <v>1.5</v>
      </c>
      <c r="E15" s="13">
        <f t="shared" si="1"/>
        <v>45</v>
      </c>
      <c r="F15" s="14">
        <f aca="true" t="shared" si="5" ref="F15:F26">G15+K15+N15+M15</f>
        <v>45</v>
      </c>
      <c r="G15" s="301">
        <f t="shared" si="2"/>
        <v>14</v>
      </c>
      <c r="H15" s="16"/>
      <c r="I15" s="13"/>
      <c r="J15" s="17">
        <v>14</v>
      </c>
      <c r="K15" s="16">
        <f>59-28</f>
        <v>31</v>
      </c>
      <c r="L15" s="13"/>
      <c r="M15" s="13"/>
      <c r="N15" s="13"/>
      <c r="O15" s="13"/>
      <c r="P15" s="17" t="s">
        <v>67</v>
      </c>
      <c r="Q15" s="347">
        <f t="shared" si="3"/>
        <v>0</v>
      </c>
      <c r="R15" s="148">
        <f t="shared" si="4"/>
        <v>0</v>
      </c>
      <c r="S15" s="16"/>
      <c r="T15" s="13"/>
      <c r="U15" s="17"/>
      <c r="V15" s="16"/>
      <c r="W15" s="13"/>
      <c r="X15" s="13"/>
      <c r="Y15" s="13"/>
      <c r="Z15" s="13"/>
      <c r="AA15" s="17"/>
    </row>
    <row r="16" spans="1:27" ht="25.5" customHeight="1">
      <c r="A16" s="326" t="s">
        <v>30</v>
      </c>
      <c r="B16" s="323" t="s">
        <v>223</v>
      </c>
      <c r="C16" s="159">
        <v>135</v>
      </c>
      <c r="D16" s="342">
        <f t="shared" si="0"/>
        <v>1.5</v>
      </c>
      <c r="E16" s="13">
        <f t="shared" si="1"/>
        <v>45</v>
      </c>
      <c r="F16" s="14">
        <f t="shared" si="5"/>
        <v>45</v>
      </c>
      <c r="G16" s="301">
        <f t="shared" si="2"/>
        <v>24</v>
      </c>
      <c r="H16" s="16"/>
      <c r="I16" s="13"/>
      <c r="J16" s="17">
        <v>24</v>
      </c>
      <c r="K16" s="16">
        <f>49-13-15</f>
        <v>21</v>
      </c>
      <c r="L16" s="13"/>
      <c r="M16" s="13"/>
      <c r="N16" s="13"/>
      <c r="O16" s="13"/>
      <c r="P16" s="17" t="s">
        <v>67</v>
      </c>
      <c r="Q16" s="347">
        <f t="shared" si="3"/>
        <v>0</v>
      </c>
      <c r="R16" s="148">
        <f t="shared" si="4"/>
        <v>0</v>
      </c>
      <c r="S16" s="16"/>
      <c r="T16" s="13"/>
      <c r="U16" s="17"/>
      <c r="V16" s="16"/>
      <c r="W16" s="13"/>
      <c r="X16" s="13"/>
      <c r="Y16" s="13"/>
      <c r="Z16" s="13"/>
      <c r="AA16" s="17"/>
    </row>
    <row r="17" spans="1:27" ht="24.75" customHeight="1">
      <c r="A17" s="326" t="s">
        <v>31</v>
      </c>
      <c r="B17" s="323" t="s">
        <v>294</v>
      </c>
      <c r="C17" s="159">
        <v>240</v>
      </c>
      <c r="D17" s="342">
        <f t="shared" si="0"/>
        <v>8</v>
      </c>
      <c r="E17" s="13">
        <f t="shared" si="1"/>
        <v>240</v>
      </c>
      <c r="F17" s="14">
        <f t="shared" si="5"/>
        <v>120</v>
      </c>
      <c r="G17" s="301">
        <f t="shared" si="2"/>
        <v>60</v>
      </c>
      <c r="H17" s="16">
        <v>32</v>
      </c>
      <c r="I17" s="13"/>
      <c r="J17" s="17">
        <v>28</v>
      </c>
      <c r="K17" s="16">
        <v>60</v>
      </c>
      <c r="L17" s="13" t="s">
        <v>125</v>
      </c>
      <c r="M17" s="13"/>
      <c r="N17" s="13"/>
      <c r="O17" s="13" t="s">
        <v>69</v>
      </c>
      <c r="P17" s="17"/>
      <c r="Q17" s="347">
        <f t="shared" si="3"/>
        <v>120</v>
      </c>
      <c r="R17" s="148">
        <f t="shared" si="4"/>
        <v>60</v>
      </c>
      <c r="S17" s="16">
        <v>28</v>
      </c>
      <c r="T17" s="13"/>
      <c r="U17" s="17">
        <v>32</v>
      </c>
      <c r="V17" s="16">
        <v>60</v>
      </c>
      <c r="W17" s="13"/>
      <c r="X17" s="13"/>
      <c r="Y17" s="13"/>
      <c r="Z17" s="13" t="s">
        <v>70</v>
      </c>
      <c r="AA17" s="17"/>
    </row>
    <row r="18" spans="1:27" ht="20.25">
      <c r="A18" s="326" t="s">
        <v>32</v>
      </c>
      <c r="B18" s="323" t="s">
        <v>126</v>
      </c>
      <c r="C18" s="159">
        <v>90</v>
      </c>
      <c r="D18" s="342">
        <f t="shared" si="0"/>
        <v>3</v>
      </c>
      <c r="E18" s="13">
        <f t="shared" si="1"/>
        <v>90</v>
      </c>
      <c r="F18" s="14">
        <f t="shared" si="5"/>
        <v>0</v>
      </c>
      <c r="G18" s="301">
        <f t="shared" si="2"/>
        <v>0</v>
      </c>
      <c r="H18" s="16"/>
      <c r="I18" s="13"/>
      <c r="J18" s="17"/>
      <c r="K18" s="16"/>
      <c r="L18" s="13"/>
      <c r="M18" s="13"/>
      <c r="N18" s="13"/>
      <c r="O18" s="13"/>
      <c r="P18" s="17"/>
      <c r="Q18" s="347">
        <f t="shared" si="3"/>
        <v>90</v>
      </c>
      <c r="R18" s="148">
        <f t="shared" si="4"/>
        <v>50</v>
      </c>
      <c r="S18" s="16">
        <v>30</v>
      </c>
      <c r="T18" s="13"/>
      <c r="U18" s="17">
        <v>20</v>
      </c>
      <c r="V18" s="16">
        <v>40</v>
      </c>
      <c r="W18" s="13"/>
      <c r="X18" s="13"/>
      <c r="Y18" s="13"/>
      <c r="Z18" s="13" t="s">
        <v>70</v>
      </c>
      <c r="AA18" s="17"/>
    </row>
    <row r="19" spans="1:27" ht="24.75" customHeight="1">
      <c r="A19" s="326" t="s">
        <v>33</v>
      </c>
      <c r="B19" s="324" t="s">
        <v>295</v>
      </c>
      <c r="C19" s="159">
        <v>120</v>
      </c>
      <c r="D19" s="342">
        <f t="shared" si="0"/>
        <v>4</v>
      </c>
      <c r="E19" s="13">
        <f t="shared" si="1"/>
        <v>120</v>
      </c>
      <c r="F19" s="14">
        <f t="shared" si="5"/>
        <v>0</v>
      </c>
      <c r="G19" s="301">
        <f t="shared" si="2"/>
        <v>0</v>
      </c>
      <c r="H19" s="160"/>
      <c r="I19" s="13"/>
      <c r="J19" s="17"/>
      <c r="K19" s="16"/>
      <c r="L19" s="13"/>
      <c r="M19" s="13"/>
      <c r="N19" s="13"/>
      <c r="O19" s="13"/>
      <c r="P19" s="17"/>
      <c r="Q19" s="347">
        <f t="shared" si="3"/>
        <v>120</v>
      </c>
      <c r="R19" s="148">
        <f t="shared" si="4"/>
        <v>60</v>
      </c>
      <c r="S19" s="167">
        <v>30</v>
      </c>
      <c r="T19" s="13"/>
      <c r="U19" s="17">
        <v>30</v>
      </c>
      <c r="V19" s="16">
        <v>60</v>
      </c>
      <c r="W19" s="13"/>
      <c r="X19" s="13"/>
      <c r="Y19" s="13"/>
      <c r="Z19" s="13"/>
      <c r="AA19" s="17" t="s">
        <v>67</v>
      </c>
    </row>
    <row r="20" spans="1:27" ht="24.75" customHeight="1">
      <c r="A20" s="326" t="s">
        <v>34</v>
      </c>
      <c r="B20" s="324" t="s">
        <v>241</v>
      </c>
      <c r="C20" s="159">
        <v>45</v>
      </c>
      <c r="D20" s="342">
        <f t="shared" si="0"/>
        <v>1.5</v>
      </c>
      <c r="E20" s="13">
        <f t="shared" si="1"/>
        <v>45</v>
      </c>
      <c r="F20" s="14">
        <f t="shared" si="5"/>
        <v>45</v>
      </c>
      <c r="G20" s="301">
        <f t="shared" si="2"/>
        <v>22</v>
      </c>
      <c r="H20" s="160">
        <v>16</v>
      </c>
      <c r="I20" s="13"/>
      <c r="J20" s="17">
        <v>6</v>
      </c>
      <c r="K20" s="16">
        <v>23</v>
      </c>
      <c r="L20" s="13"/>
      <c r="M20" s="13"/>
      <c r="N20" s="13"/>
      <c r="O20" s="13"/>
      <c r="P20" s="17" t="s">
        <v>67</v>
      </c>
      <c r="Q20" s="347">
        <f t="shared" si="3"/>
        <v>0</v>
      </c>
      <c r="R20" s="148">
        <f t="shared" si="4"/>
        <v>0</v>
      </c>
      <c r="S20" s="167"/>
      <c r="T20" s="13"/>
      <c r="U20" s="17"/>
      <c r="V20" s="16"/>
      <c r="W20" s="13"/>
      <c r="X20" s="13"/>
      <c r="Y20" s="13"/>
      <c r="Z20" s="13"/>
      <c r="AA20" s="17"/>
    </row>
    <row r="21" spans="1:27" ht="24.75" customHeight="1">
      <c r="A21" s="362" t="s">
        <v>35</v>
      </c>
      <c r="B21" s="445" t="s">
        <v>296</v>
      </c>
      <c r="C21" s="170">
        <v>75</v>
      </c>
      <c r="D21" s="342">
        <f t="shared" si="0"/>
        <v>2.5</v>
      </c>
      <c r="E21" s="13">
        <f t="shared" si="1"/>
        <v>75</v>
      </c>
      <c r="F21" s="14">
        <f t="shared" si="5"/>
        <v>0</v>
      </c>
      <c r="G21" s="301">
        <f t="shared" si="2"/>
        <v>0</v>
      </c>
      <c r="H21" s="488"/>
      <c r="I21" s="172"/>
      <c r="J21" s="184"/>
      <c r="K21" s="176"/>
      <c r="L21" s="172"/>
      <c r="M21" s="172"/>
      <c r="N21" s="172"/>
      <c r="O21" s="172"/>
      <c r="P21" s="184"/>
      <c r="Q21" s="347">
        <f t="shared" si="3"/>
        <v>75</v>
      </c>
      <c r="R21" s="148">
        <f t="shared" si="4"/>
        <v>30</v>
      </c>
      <c r="S21" s="421">
        <v>16</v>
      </c>
      <c r="T21" s="172"/>
      <c r="U21" s="184">
        <v>14</v>
      </c>
      <c r="V21" s="176">
        <v>45</v>
      </c>
      <c r="W21" s="172"/>
      <c r="X21" s="172"/>
      <c r="Y21" s="172"/>
      <c r="Z21" s="172" t="s">
        <v>70</v>
      </c>
      <c r="AA21" s="184"/>
    </row>
    <row r="22" spans="1:27" ht="24.75" customHeight="1">
      <c r="A22" s="362" t="s">
        <v>36</v>
      </c>
      <c r="B22" s="445" t="s">
        <v>297</v>
      </c>
      <c r="C22" s="170">
        <v>345</v>
      </c>
      <c r="D22" s="342">
        <f t="shared" si="0"/>
        <v>8.5</v>
      </c>
      <c r="E22" s="13">
        <f t="shared" si="1"/>
        <v>255</v>
      </c>
      <c r="F22" s="14">
        <f t="shared" si="5"/>
        <v>135</v>
      </c>
      <c r="G22" s="301">
        <f t="shared" si="2"/>
        <v>84</v>
      </c>
      <c r="H22" s="488">
        <v>44</v>
      </c>
      <c r="I22" s="172"/>
      <c r="J22" s="184">
        <v>40</v>
      </c>
      <c r="K22" s="176">
        <v>51</v>
      </c>
      <c r="L22" s="172"/>
      <c r="M22" s="172"/>
      <c r="N22" s="172"/>
      <c r="O22" s="172" t="s">
        <v>70</v>
      </c>
      <c r="P22" s="184"/>
      <c r="Q22" s="366">
        <f t="shared" si="3"/>
        <v>120</v>
      </c>
      <c r="R22" s="367">
        <f t="shared" si="4"/>
        <v>70</v>
      </c>
      <c r="S22" s="421">
        <v>40</v>
      </c>
      <c r="T22" s="172"/>
      <c r="U22" s="184">
        <v>30</v>
      </c>
      <c r="V22" s="176">
        <v>50</v>
      </c>
      <c r="W22" s="172"/>
      <c r="X22" s="172"/>
      <c r="Y22" s="172"/>
      <c r="Z22" s="172"/>
      <c r="AA22" s="184" t="s">
        <v>67</v>
      </c>
    </row>
    <row r="23" spans="1:27" ht="24.75" customHeight="1" thickBot="1">
      <c r="A23" s="362" t="s">
        <v>37</v>
      </c>
      <c r="B23" s="445" t="s">
        <v>298</v>
      </c>
      <c r="C23" s="170">
        <v>180</v>
      </c>
      <c r="D23" s="342">
        <f t="shared" si="0"/>
        <v>6</v>
      </c>
      <c r="E23" s="13">
        <f t="shared" si="1"/>
        <v>180</v>
      </c>
      <c r="F23" s="14">
        <f t="shared" si="5"/>
        <v>180</v>
      </c>
      <c r="G23" s="301">
        <f t="shared" si="2"/>
        <v>84</v>
      </c>
      <c r="H23" s="488">
        <v>54</v>
      </c>
      <c r="I23" s="172"/>
      <c r="J23" s="184">
        <v>30</v>
      </c>
      <c r="K23" s="176">
        <v>96</v>
      </c>
      <c r="L23" s="172"/>
      <c r="M23" s="172"/>
      <c r="N23" s="172"/>
      <c r="O23" s="172" t="s">
        <v>70</v>
      </c>
      <c r="P23" s="184"/>
      <c r="Q23" s="366">
        <f t="shared" si="3"/>
        <v>0</v>
      </c>
      <c r="R23" s="367">
        <f t="shared" si="4"/>
        <v>0</v>
      </c>
      <c r="S23" s="421"/>
      <c r="T23" s="172"/>
      <c r="U23" s="184"/>
      <c r="V23" s="176"/>
      <c r="W23" s="172"/>
      <c r="X23" s="172"/>
      <c r="Y23" s="172"/>
      <c r="Z23" s="172"/>
      <c r="AA23" s="184"/>
    </row>
    <row r="24" spans="1:27" ht="24.75" customHeight="1" thickBot="1">
      <c r="A24" s="374" t="s">
        <v>39</v>
      </c>
      <c r="B24" s="375" t="s">
        <v>299</v>
      </c>
      <c r="C24" s="316">
        <v>150</v>
      </c>
      <c r="D24" s="463">
        <f t="shared" si="0"/>
        <v>5</v>
      </c>
      <c r="E24" s="464">
        <f t="shared" si="1"/>
        <v>150</v>
      </c>
      <c r="F24" s="465">
        <f t="shared" si="5"/>
        <v>150</v>
      </c>
      <c r="G24" s="376">
        <f t="shared" si="2"/>
        <v>64</v>
      </c>
      <c r="H24" s="222">
        <v>34</v>
      </c>
      <c r="I24" s="219"/>
      <c r="J24" s="227">
        <v>30</v>
      </c>
      <c r="K24" s="222">
        <v>86</v>
      </c>
      <c r="L24" s="219"/>
      <c r="M24" s="219"/>
      <c r="N24" s="219"/>
      <c r="O24" s="219"/>
      <c r="P24" s="227" t="s">
        <v>67</v>
      </c>
      <c r="Q24" s="378">
        <f>V24+W24+X24+Y24+R24</f>
        <v>0</v>
      </c>
      <c r="R24" s="379">
        <f t="shared" si="4"/>
        <v>0</v>
      </c>
      <c r="S24" s="222"/>
      <c r="T24" s="224"/>
      <c r="U24" s="486"/>
      <c r="V24" s="226"/>
      <c r="W24" s="219"/>
      <c r="X24" s="219"/>
      <c r="Y24" s="219"/>
      <c r="Z24" s="219"/>
      <c r="AA24" s="227"/>
    </row>
    <row r="25" spans="1:27" s="239" customFormat="1" ht="24.75" customHeight="1" thickBot="1">
      <c r="A25" s="368" t="s">
        <v>40</v>
      </c>
      <c r="B25" s="324" t="s">
        <v>246</v>
      </c>
      <c r="C25" s="383">
        <v>135</v>
      </c>
      <c r="D25" s="427">
        <f t="shared" si="0"/>
        <v>4.5</v>
      </c>
      <c r="E25" s="424">
        <f t="shared" si="1"/>
        <v>135</v>
      </c>
      <c r="F25" s="322">
        <f t="shared" si="5"/>
        <v>135</v>
      </c>
      <c r="G25" s="462">
        <f t="shared" si="2"/>
        <v>90</v>
      </c>
      <c r="H25" s="373"/>
      <c r="I25" s="370"/>
      <c r="J25" s="249">
        <f>30*3</f>
        <v>90</v>
      </c>
      <c r="K25" s="373">
        <f>15*3</f>
        <v>45</v>
      </c>
      <c r="L25" s="370"/>
      <c r="M25" s="370"/>
      <c r="N25" s="370"/>
      <c r="O25" s="370"/>
      <c r="P25" s="249" t="s">
        <v>67</v>
      </c>
      <c r="Q25" s="380">
        <f>V25+X25+Y25+R25</f>
        <v>0</v>
      </c>
      <c r="R25" s="351">
        <f t="shared" si="4"/>
        <v>0</v>
      </c>
      <c r="S25" s="373"/>
      <c r="T25" s="370"/>
      <c r="U25" s="249"/>
      <c r="V25" s="373"/>
      <c r="W25" s="370"/>
      <c r="X25" s="370"/>
      <c r="Y25" s="370"/>
      <c r="Z25" s="370"/>
      <c r="AA25" s="249"/>
    </row>
    <row r="26" spans="1:27" s="239" customFormat="1" ht="24.75" customHeight="1" thickBot="1">
      <c r="A26" s="336" t="s">
        <v>41</v>
      </c>
      <c r="B26" s="360" t="s">
        <v>217</v>
      </c>
      <c r="C26" s="235">
        <v>135</v>
      </c>
      <c r="D26" s="119">
        <f t="shared" si="0"/>
        <v>4.5</v>
      </c>
      <c r="E26" s="120">
        <f t="shared" si="1"/>
        <v>135</v>
      </c>
      <c r="F26" s="121">
        <f t="shared" si="5"/>
        <v>0</v>
      </c>
      <c r="G26" s="462">
        <f t="shared" si="2"/>
        <v>0</v>
      </c>
      <c r="H26" s="119"/>
      <c r="I26" s="120"/>
      <c r="J26" s="121"/>
      <c r="K26" s="119"/>
      <c r="L26" s="120"/>
      <c r="M26" s="120"/>
      <c r="N26" s="120"/>
      <c r="O26" s="120"/>
      <c r="P26" s="121"/>
      <c r="Q26" s="380">
        <f>V26+X26+Y26+R26</f>
        <v>135</v>
      </c>
      <c r="R26" s="351">
        <f t="shared" si="4"/>
        <v>90</v>
      </c>
      <c r="S26" s="119"/>
      <c r="T26" s="120"/>
      <c r="U26" s="121">
        <f>3*30</f>
        <v>90</v>
      </c>
      <c r="V26" s="119">
        <f>3*15</f>
        <v>45</v>
      </c>
      <c r="W26" s="120"/>
      <c r="X26" s="120"/>
      <c r="Y26" s="120"/>
      <c r="Z26" s="120"/>
      <c r="AA26" s="121" t="s">
        <v>67</v>
      </c>
    </row>
    <row r="27" spans="1:27" s="239" customFormat="1" ht="24.75" customHeight="1" thickBot="1">
      <c r="A27" s="337" t="s">
        <v>55</v>
      </c>
      <c r="B27" s="361" t="s">
        <v>83</v>
      </c>
      <c r="C27" s="338">
        <v>30</v>
      </c>
      <c r="D27" s="106">
        <f>E27/30</f>
        <v>1</v>
      </c>
      <c r="E27" s="105">
        <f t="shared" si="1"/>
        <v>30</v>
      </c>
      <c r="F27" s="107">
        <f>G27+K27+N27+M27</f>
        <v>0</v>
      </c>
      <c r="G27" s="462">
        <f t="shared" si="2"/>
        <v>0</v>
      </c>
      <c r="H27" s="343"/>
      <c r="I27" s="344"/>
      <c r="J27" s="345"/>
      <c r="K27" s="343"/>
      <c r="L27" s="344"/>
      <c r="M27" s="344"/>
      <c r="N27" s="344"/>
      <c r="O27" s="344"/>
      <c r="P27" s="345"/>
      <c r="Q27" s="380">
        <f>V27+X27+Y27+R27</f>
        <v>30</v>
      </c>
      <c r="R27" s="351">
        <f t="shared" si="4"/>
        <v>30</v>
      </c>
      <c r="S27" s="343"/>
      <c r="T27" s="355"/>
      <c r="U27" s="487">
        <v>30</v>
      </c>
      <c r="V27" s="357"/>
      <c r="W27" s="344"/>
      <c r="X27" s="344"/>
      <c r="Y27" s="344"/>
      <c r="Z27" s="105"/>
      <c r="AA27" s="345"/>
    </row>
    <row r="28" spans="1:27" ht="24.75" customHeight="1" thickBot="1">
      <c r="A28" s="28"/>
      <c r="B28" s="241" t="s">
        <v>42</v>
      </c>
      <c r="C28" s="33">
        <f>SUM(C14:C27)</f>
        <v>1860</v>
      </c>
      <c r="D28" s="38">
        <f>SUM(D14:D27)</f>
        <v>53</v>
      </c>
      <c r="E28" s="31">
        <f>SUM(E14:E27)</f>
        <v>1590</v>
      </c>
      <c r="F28" s="32">
        <f>SUM(F14:F27)</f>
        <v>855</v>
      </c>
      <c r="G28" s="33">
        <f>SUM(G14:G24)</f>
        <v>352</v>
      </c>
      <c r="H28" s="30">
        <f>SUM(H14:H27)</f>
        <v>180</v>
      </c>
      <c r="I28" s="31">
        <f>SUM(I14:I27)</f>
        <v>0</v>
      </c>
      <c r="J28" s="142">
        <f>SUM(J14:J27)</f>
        <v>262</v>
      </c>
      <c r="K28" s="30">
        <f>SUM(K14:K27)</f>
        <v>413</v>
      </c>
      <c r="L28" s="31">
        <v>1</v>
      </c>
      <c r="M28" s="31">
        <f>SUM(M14:M27)</f>
        <v>0</v>
      </c>
      <c r="N28" s="31">
        <f>SUM(N14:N27)</f>
        <v>0</v>
      </c>
      <c r="O28" s="31">
        <v>3</v>
      </c>
      <c r="P28" s="142">
        <v>4</v>
      </c>
      <c r="Q28" s="33">
        <f>SUM(Q14:Q27)</f>
        <v>735</v>
      </c>
      <c r="R28" s="37">
        <f>SUM(R14:R24)</f>
        <v>300</v>
      </c>
      <c r="S28" s="30">
        <f>SUM(S14:S27)</f>
        <v>158</v>
      </c>
      <c r="T28" s="31">
        <f>SUM(T14:T27)</f>
        <v>0</v>
      </c>
      <c r="U28" s="142">
        <f>SUM(U14:U27)</f>
        <v>262</v>
      </c>
      <c r="V28" s="30">
        <f>SUM(V14:V27)</f>
        <v>315</v>
      </c>
      <c r="W28" s="31">
        <v>0</v>
      </c>
      <c r="X28" s="31">
        <v>0</v>
      </c>
      <c r="Y28" s="31">
        <v>0</v>
      </c>
      <c r="Z28" s="31">
        <v>3</v>
      </c>
      <c r="AA28" s="142">
        <v>3</v>
      </c>
    </row>
    <row r="29" spans="1:27" ht="24.75" customHeight="1" thickBot="1">
      <c r="A29" s="589"/>
      <c r="B29" s="384" t="s">
        <v>43</v>
      </c>
      <c r="C29" s="46"/>
      <c r="D29" s="387"/>
      <c r="E29" s="47"/>
      <c r="F29" s="388"/>
      <c r="G29" s="389">
        <f>G28/J10</f>
        <v>29.333333333333332</v>
      </c>
      <c r="H29" s="46"/>
      <c r="I29" s="47"/>
      <c r="J29" s="47"/>
      <c r="K29" s="47"/>
      <c r="L29" s="47"/>
      <c r="M29" s="47"/>
      <c r="N29" s="47"/>
      <c r="O29" s="48"/>
      <c r="P29" s="49"/>
      <c r="Q29" s="388"/>
      <c r="R29" s="390">
        <f>SUM(R14:R24)/U10</f>
        <v>30</v>
      </c>
      <c r="S29" s="391"/>
      <c r="T29" s="47"/>
      <c r="U29" s="47"/>
      <c r="V29" s="47"/>
      <c r="W29" s="47"/>
      <c r="X29" s="47"/>
      <c r="Y29" s="47"/>
      <c r="Z29" s="48"/>
      <c r="AA29" s="49"/>
    </row>
    <row r="30" spans="1:27" ht="24.75" customHeight="1" thickBot="1">
      <c r="A30" s="590"/>
      <c r="B30" s="385" t="s">
        <v>44</v>
      </c>
      <c r="C30" s="57"/>
      <c r="D30" s="54"/>
      <c r="E30" s="43"/>
      <c r="F30" s="55"/>
      <c r="G30" s="56"/>
      <c r="H30" s="57"/>
      <c r="I30" s="43"/>
      <c r="J30" s="43"/>
      <c r="K30" s="43"/>
      <c r="L30" s="43"/>
      <c r="M30" s="43"/>
      <c r="N30" s="58"/>
      <c r="O30" s="39">
        <v>3</v>
      </c>
      <c r="P30" s="59"/>
      <c r="Q30" s="60"/>
      <c r="R30" s="61"/>
      <c r="S30" s="62"/>
      <c r="T30" s="62"/>
      <c r="U30" s="62"/>
      <c r="V30" s="62"/>
      <c r="W30" s="62"/>
      <c r="X30" s="62"/>
      <c r="Y30" s="58"/>
      <c r="Z30" s="39">
        <v>3</v>
      </c>
      <c r="AA30" s="144"/>
    </row>
    <row r="31" spans="1:27" ht="24.75" customHeight="1" thickBot="1">
      <c r="A31" s="590"/>
      <c r="B31" s="385" t="s">
        <v>45</v>
      </c>
      <c r="C31" s="57"/>
      <c r="D31" s="54"/>
      <c r="E31" s="43"/>
      <c r="F31" s="55"/>
      <c r="G31" s="58"/>
      <c r="H31" s="57"/>
      <c r="I31" s="43"/>
      <c r="J31" s="43"/>
      <c r="K31" s="43"/>
      <c r="L31" s="63"/>
      <c r="M31" s="43"/>
      <c r="N31" s="62"/>
      <c r="O31" s="56"/>
      <c r="P31" s="39">
        <v>5</v>
      </c>
      <c r="Q31" s="60"/>
      <c r="R31" s="62"/>
      <c r="S31" s="62"/>
      <c r="T31" s="62"/>
      <c r="U31" s="62"/>
      <c r="V31" s="62"/>
      <c r="W31" s="64"/>
      <c r="X31" s="62"/>
      <c r="Y31" s="62"/>
      <c r="Z31" s="56"/>
      <c r="AA31" s="39">
        <v>4</v>
      </c>
    </row>
    <row r="32" spans="1:27" ht="24.75" customHeight="1" thickBot="1">
      <c r="A32" s="590"/>
      <c r="B32" s="386" t="s">
        <v>46</v>
      </c>
      <c r="C32" s="68"/>
      <c r="D32" s="70"/>
      <c r="E32" s="69"/>
      <c r="F32" s="71"/>
      <c r="G32" s="70"/>
      <c r="H32" s="68"/>
      <c r="I32" s="69"/>
      <c r="J32" s="69"/>
      <c r="K32" s="70"/>
      <c r="L32" s="39">
        <v>1</v>
      </c>
      <c r="M32" s="71"/>
      <c r="N32" s="72"/>
      <c r="O32" s="72"/>
      <c r="P32" s="73"/>
      <c r="Q32" s="392"/>
      <c r="R32" s="72"/>
      <c r="S32" s="72"/>
      <c r="T32" s="72"/>
      <c r="U32" s="72"/>
      <c r="V32" s="393"/>
      <c r="W32" s="39">
        <v>0</v>
      </c>
      <c r="X32" s="71"/>
      <c r="Y32" s="69"/>
      <c r="Z32" s="72"/>
      <c r="AA32" s="73"/>
    </row>
    <row r="33" spans="1:27" ht="24.75" customHeight="1" thickBot="1">
      <c r="A33" s="591"/>
      <c r="B33" s="137" t="s">
        <v>47</v>
      </c>
      <c r="C33" s="77">
        <f>SUM(C29:C32)</f>
        <v>0</v>
      </c>
      <c r="D33" s="77">
        <f aca="true" t="shared" si="6" ref="D33:AA33">SUM(D29:D32)</f>
        <v>0</v>
      </c>
      <c r="E33" s="77">
        <f t="shared" si="6"/>
        <v>0</v>
      </c>
      <c r="F33" s="77">
        <f t="shared" si="6"/>
        <v>0</v>
      </c>
      <c r="G33" s="78">
        <f>SUM(G29:G32)</f>
        <v>29.333333333333332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2">
        <f t="shared" si="6"/>
        <v>0</v>
      </c>
      <c r="L33" s="39">
        <f t="shared" si="6"/>
        <v>1</v>
      </c>
      <c r="M33" s="38">
        <f t="shared" si="6"/>
        <v>0</v>
      </c>
      <c r="N33" s="31">
        <f t="shared" si="6"/>
        <v>0</v>
      </c>
      <c r="O33" s="31">
        <f t="shared" si="6"/>
        <v>3</v>
      </c>
      <c r="P33" s="31">
        <f t="shared" si="6"/>
        <v>5</v>
      </c>
      <c r="Q33" s="77">
        <f t="shared" si="6"/>
        <v>0</v>
      </c>
      <c r="R33" s="78">
        <f t="shared" si="6"/>
        <v>30</v>
      </c>
      <c r="S33" s="77">
        <f t="shared" si="6"/>
        <v>0</v>
      </c>
      <c r="T33" s="77">
        <f t="shared" si="6"/>
        <v>0</v>
      </c>
      <c r="U33" s="77">
        <f t="shared" si="6"/>
        <v>0</v>
      </c>
      <c r="V33" s="79">
        <f t="shared" si="6"/>
        <v>0</v>
      </c>
      <c r="W33" s="39">
        <f t="shared" si="6"/>
        <v>0</v>
      </c>
      <c r="X33" s="243">
        <f t="shared" si="6"/>
        <v>0</v>
      </c>
      <c r="Y33" s="77">
        <f t="shared" si="6"/>
        <v>0</v>
      </c>
      <c r="Z33" s="77">
        <f>SUM(Z29:Z32)</f>
        <v>3</v>
      </c>
      <c r="AA33" s="146">
        <f t="shared" si="6"/>
        <v>4</v>
      </c>
    </row>
    <row r="34" spans="1:27" ht="24.75" customHeight="1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6.25">
      <c r="A37" s="1"/>
      <c r="B37" s="82" t="s">
        <v>60</v>
      </c>
      <c r="C37" s="82"/>
      <c r="D37" s="82"/>
      <c r="E37" s="82"/>
      <c r="F37" s="82"/>
      <c r="G37" s="82"/>
      <c r="H37" s="82"/>
      <c r="I37" s="82"/>
      <c r="J37" s="82"/>
      <c r="K37" s="82" t="s">
        <v>59</v>
      </c>
      <c r="L37" s="82"/>
      <c r="M37" s="82"/>
      <c r="N37" s="82"/>
      <c r="O37" s="82"/>
      <c r="P37" s="82"/>
      <c r="Q37" s="82"/>
      <c r="R37" s="83"/>
      <c r="S37" s="83"/>
      <c r="T37" s="84"/>
      <c r="U37" s="85"/>
      <c r="V37" s="85"/>
      <c r="W37" s="85"/>
      <c r="X37" s="85"/>
      <c r="Y37" s="86"/>
      <c r="Z37" s="86"/>
      <c r="AA37" s="86"/>
    </row>
    <row r="38" spans="1:27" ht="26.25">
      <c r="A38" s="87"/>
      <c r="B38" s="592"/>
      <c r="C38" s="592"/>
      <c r="D38" s="592"/>
      <c r="E38" s="592"/>
      <c r="F38" s="592"/>
      <c r="G38" s="592"/>
      <c r="H38" s="592"/>
      <c r="I38" s="592"/>
      <c r="J38" s="592"/>
      <c r="K38" s="87"/>
      <c r="L38" s="87"/>
      <c r="M38" s="87"/>
      <c r="N38" s="87"/>
      <c r="O38" s="87"/>
      <c r="P38" s="87"/>
      <c r="Q38" s="87"/>
      <c r="R38" s="87" t="s">
        <v>48</v>
      </c>
      <c r="S38" s="89"/>
      <c r="T38" s="90" t="s">
        <v>49</v>
      </c>
      <c r="U38" s="91" t="s">
        <v>50</v>
      </c>
      <c r="V38" s="91"/>
      <c r="W38" s="91"/>
      <c r="X38" s="90"/>
      <c r="Y38" s="90"/>
      <c r="Z38" s="92"/>
      <c r="AA38" s="92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/>
      <c r="L39" s="82"/>
      <c r="M39" s="82"/>
      <c r="N39" s="82"/>
      <c r="O39" s="82"/>
      <c r="P39" s="82"/>
      <c r="Q39" s="82"/>
      <c r="R39" s="82"/>
      <c r="S39" s="82"/>
      <c r="T39" s="84"/>
      <c r="U39" s="84"/>
      <c r="V39" s="84"/>
      <c r="W39" s="84"/>
      <c r="X39" s="93"/>
      <c r="Y39" s="93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 t="s">
        <v>51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52</v>
      </c>
      <c r="U41" s="91" t="s">
        <v>50</v>
      </c>
      <c r="V41" s="91"/>
      <c r="W41" s="91"/>
      <c r="X41" s="90"/>
      <c r="Y41" s="90"/>
      <c r="Z41" s="94"/>
      <c r="AA41" s="94"/>
    </row>
  </sheetData>
  <sheetProtection/>
  <mergeCells count="42">
    <mergeCell ref="A29:A33"/>
    <mergeCell ref="B38:J38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1"/>
  <sheetViews>
    <sheetView zoomScale="70" zoomScaleNormal="70" zoomScalePageLayoutView="0" workbookViewId="0" topLeftCell="A1">
      <selection activeCell="AA41" sqref="A1:AA41"/>
    </sheetView>
  </sheetViews>
  <sheetFormatPr defaultColWidth="9.140625" defaultRowHeight="15"/>
  <cols>
    <col min="2" max="2" width="98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54" customHeight="1">
      <c r="A5" s="1" t="s">
        <v>5</v>
      </c>
      <c r="B5" s="1"/>
      <c r="C5" s="559" t="s">
        <v>212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345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211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121</v>
      </c>
      <c r="G10" s="573"/>
      <c r="H10" s="573"/>
      <c r="I10" s="573"/>
      <c r="J10" s="140">
        <v>11</v>
      </c>
      <c r="K10" s="573" t="s">
        <v>12</v>
      </c>
      <c r="L10" s="573"/>
      <c r="M10" s="573"/>
      <c r="N10" s="573"/>
      <c r="O10" s="573"/>
      <c r="P10" s="574"/>
      <c r="Q10" s="572" t="s">
        <v>122</v>
      </c>
      <c r="R10" s="573"/>
      <c r="S10" s="573"/>
      <c r="T10" s="574"/>
      <c r="U10" s="140">
        <v>10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335" t="s">
        <v>28</v>
      </c>
      <c r="B14" s="334" t="s">
        <v>123</v>
      </c>
      <c r="C14" s="339">
        <v>75</v>
      </c>
      <c r="D14" s="341">
        <f>E14/30</f>
        <v>2.5</v>
      </c>
      <c r="E14" s="7">
        <f aca="true" t="shared" si="0" ref="E14:E27">F14+Q14</f>
        <v>75</v>
      </c>
      <c r="F14" s="8">
        <f>G14+K14+N14+M14</f>
        <v>0</v>
      </c>
      <c r="G14" s="259">
        <f>H14+I14+J14</f>
        <v>0</v>
      </c>
      <c r="H14" s="349"/>
      <c r="I14" s="7"/>
      <c r="J14" s="11"/>
      <c r="K14" s="349"/>
      <c r="L14" s="7"/>
      <c r="M14" s="7"/>
      <c r="N14" s="7"/>
      <c r="O14" s="7"/>
      <c r="P14" s="8"/>
      <c r="Q14" s="346">
        <f aca="true" t="shared" si="1" ref="Q14:Q23">V14+X14+Y14+R14</f>
        <v>75</v>
      </c>
      <c r="R14" s="147">
        <f aca="true" t="shared" si="2" ref="R14:R27">S14+T14+U14</f>
        <v>30</v>
      </c>
      <c r="S14" s="10">
        <v>20</v>
      </c>
      <c r="T14" s="7"/>
      <c r="U14" s="8">
        <v>10</v>
      </c>
      <c r="V14" s="10">
        <v>45</v>
      </c>
      <c r="W14" s="7"/>
      <c r="X14" s="7"/>
      <c r="Y14" s="7"/>
      <c r="Z14" s="7"/>
      <c r="AA14" s="11" t="s">
        <v>67</v>
      </c>
    </row>
    <row r="15" spans="1:27" ht="24.75" customHeight="1">
      <c r="A15" s="326" t="s">
        <v>29</v>
      </c>
      <c r="B15" s="359" t="s">
        <v>213</v>
      </c>
      <c r="C15" s="358">
        <v>90</v>
      </c>
      <c r="D15" s="342">
        <f aca="true" t="shared" si="3" ref="D15:D26">E15/30</f>
        <v>3</v>
      </c>
      <c r="E15" s="13">
        <f t="shared" si="0"/>
        <v>90</v>
      </c>
      <c r="F15" s="14">
        <f>G15+K15+N15+M15</f>
        <v>0</v>
      </c>
      <c r="G15" s="301">
        <f aca="true" t="shared" si="4" ref="G15:G27">H15+I15+J15</f>
        <v>0</v>
      </c>
      <c r="H15" s="174"/>
      <c r="I15" s="110"/>
      <c r="J15" s="114"/>
      <c r="K15" s="174"/>
      <c r="L15" s="110"/>
      <c r="M15" s="110"/>
      <c r="N15" s="110"/>
      <c r="O15" s="110"/>
      <c r="P15" s="111"/>
      <c r="Q15" s="347">
        <f t="shared" si="1"/>
        <v>90</v>
      </c>
      <c r="R15" s="148">
        <f t="shared" si="2"/>
        <v>60</v>
      </c>
      <c r="S15" s="113">
        <v>40</v>
      </c>
      <c r="T15" s="110"/>
      <c r="U15" s="111">
        <v>20</v>
      </c>
      <c r="V15" s="113">
        <v>30</v>
      </c>
      <c r="W15" s="110"/>
      <c r="X15" s="110"/>
      <c r="Y15" s="110"/>
      <c r="Z15" s="110" t="s">
        <v>69</v>
      </c>
      <c r="AA15" s="114"/>
    </row>
    <row r="16" spans="1:27" ht="24.75" customHeight="1">
      <c r="A16" s="326" t="s">
        <v>30</v>
      </c>
      <c r="B16" s="323" t="s">
        <v>214</v>
      </c>
      <c r="C16" s="340">
        <v>120</v>
      </c>
      <c r="D16" s="342">
        <f t="shared" si="3"/>
        <v>4</v>
      </c>
      <c r="E16" s="13">
        <f t="shared" si="0"/>
        <v>120</v>
      </c>
      <c r="F16" s="14">
        <f>G16+K16+N16+M16</f>
        <v>120</v>
      </c>
      <c r="G16" s="301">
        <f t="shared" si="4"/>
        <v>54</v>
      </c>
      <c r="H16" s="350">
        <v>34</v>
      </c>
      <c r="I16" s="13"/>
      <c r="J16" s="17">
        <v>20</v>
      </c>
      <c r="K16" s="350">
        <v>66</v>
      </c>
      <c r="L16" s="13" t="s">
        <v>125</v>
      </c>
      <c r="M16" s="13"/>
      <c r="N16" s="13"/>
      <c r="O16" s="13" t="s">
        <v>70</v>
      </c>
      <c r="P16" s="14"/>
      <c r="Q16" s="347">
        <f t="shared" si="1"/>
        <v>0</v>
      </c>
      <c r="R16" s="148">
        <f t="shared" si="2"/>
        <v>0</v>
      </c>
      <c r="S16" s="16"/>
      <c r="T16" s="13"/>
      <c r="U16" s="14"/>
      <c r="V16" s="16"/>
      <c r="W16" s="13"/>
      <c r="X16" s="13"/>
      <c r="Y16" s="13"/>
      <c r="Z16" s="13"/>
      <c r="AA16" s="17"/>
    </row>
    <row r="17" spans="1:27" ht="24.75" customHeight="1">
      <c r="A17" s="326" t="s">
        <v>31</v>
      </c>
      <c r="B17" s="323" t="s">
        <v>215</v>
      </c>
      <c r="C17" s="340">
        <v>120</v>
      </c>
      <c r="D17" s="342">
        <f t="shared" si="3"/>
        <v>4</v>
      </c>
      <c r="E17" s="13">
        <f t="shared" si="0"/>
        <v>120</v>
      </c>
      <c r="F17" s="14">
        <f aca="true" t="shared" si="5" ref="F17:F26">G17+K17+N17+M17</f>
        <v>0</v>
      </c>
      <c r="G17" s="301">
        <f t="shared" si="4"/>
        <v>0</v>
      </c>
      <c r="H17" s="350"/>
      <c r="I17" s="13"/>
      <c r="J17" s="17"/>
      <c r="K17" s="350"/>
      <c r="L17" s="13"/>
      <c r="M17" s="13"/>
      <c r="N17" s="13"/>
      <c r="O17" s="13"/>
      <c r="P17" s="14"/>
      <c r="Q17" s="347">
        <f t="shared" si="1"/>
        <v>120</v>
      </c>
      <c r="R17" s="148">
        <f t="shared" si="2"/>
        <v>70</v>
      </c>
      <c r="S17" s="16">
        <v>50</v>
      </c>
      <c r="T17" s="13"/>
      <c r="U17" s="14">
        <v>20</v>
      </c>
      <c r="V17" s="16">
        <v>50</v>
      </c>
      <c r="W17" s="13"/>
      <c r="X17" s="13"/>
      <c r="Y17" s="13"/>
      <c r="Z17" s="13"/>
      <c r="AA17" s="17" t="s">
        <v>67</v>
      </c>
    </row>
    <row r="18" spans="1:27" ht="24.75" customHeight="1">
      <c r="A18" s="326" t="s">
        <v>32</v>
      </c>
      <c r="B18" s="323" t="s">
        <v>216</v>
      </c>
      <c r="C18" s="340">
        <v>120</v>
      </c>
      <c r="D18" s="342">
        <f t="shared" si="3"/>
        <v>4</v>
      </c>
      <c r="E18" s="13">
        <f t="shared" si="0"/>
        <v>120</v>
      </c>
      <c r="F18" s="14">
        <f>G18+K18+N18+M18</f>
        <v>120</v>
      </c>
      <c r="G18" s="301">
        <f t="shared" si="4"/>
        <v>56</v>
      </c>
      <c r="H18" s="350">
        <v>34</v>
      </c>
      <c r="I18" s="13"/>
      <c r="J18" s="17">
        <v>22</v>
      </c>
      <c r="K18" s="350">
        <v>64</v>
      </c>
      <c r="L18" s="13" t="s">
        <v>125</v>
      </c>
      <c r="M18" s="13"/>
      <c r="N18" s="13"/>
      <c r="O18" s="13" t="s">
        <v>69</v>
      </c>
      <c r="P18" s="14"/>
      <c r="Q18" s="347">
        <f t="shared" si="1"/>
        <v>0</v>
      </c>
      <c r="R18" s="148">
        <f t="shared" si="2"/>
        <v>0</v>
      </c>
      <c r="S18" s="16"/>
      <c r="T18" s="13"/>
      <c r="U18" s="14"/>
      <c r="V18" s="16"/>
      <c r="W18" s="13"/>
      <c r="X18" s="13"/>
      <c r="Y18" s="13"/>
      <c r="Z18" s="13"/>
      <c r="AA18" s="17"/>
    </row>
    <row r="19" spans="1:27" ht="24.75" customHeight="1">
      <c r="A19" s="326" t="s">
        <v>33</v>
      </c>
      <c r="B19" s="323" t="s">
        <v>126</v>
      </c>
      <c r="C19" s="340">
        <v>90</v>
      </c>
      <c r="D19" s="342">
        <f t="shared" si="3"/>
        <v>3</v>
      </c>
      <c r="E19" s="13">
        <f t="shared" si="0"/>
        <v>90</v>
      </c>
      <c r="F19" s="14">
        <f t="shared" si="5"/>
        <v>0</v>
      </c>
      <c r="G19" s="301">
        <f t="shared" si="4"/>
        <v>0</v>
      </c>
      <c r="H19" s="350"/>
      <c r="I19" s="13"/>
      <c r="J19" s="17"/>
      <c r="K19" s="350"/>
      <c r="L19" s="13"/>
      <c r="M19" s="13"/>
      <c r="N19" s="13"/>
      <c r="O19" s="13"/>
      <c r="P19" s="14"/>
      <c r="Q19" s="347">
        <f t="shared" si="1"/>
        <v>90</v>
      </c>
      <c r="R19" s="148">
        <f t="shared" si="2"/>
        <v>60</v>
      </c>
      <c r="S19" s="16">
        <v>40</v>
      </c>
      <c r="T19" s="13"/>
      <c r="U19" s="14">
        <v>20</v>
      </c>
      <c r="V19" s="16">
        <v>30</v>
      </c>
      <c r="W19" s="13"/>
      <c r="X19" s="13"/>
      <c r="Y19" s="13"/>
      <c r="Z19" s="13" t="s">
        <v>70</v>
      </c>
      <c r="AA19" s="17"/>
    </row>
    <row r="20" spans="1:27" ht="24.75" customHeight="1" thickBot="1">
      <c r="A20" s="326" t="s">
        <v>34</v>
      </c>
      <c r="B20" s="323" t="s">
        <v>219</v>
      </c>
      <c r="C20" s="340">
        <v>90</v>
      </c>
      <c r="D20" s="342">
        <f t="shared" si="3"/>
        <v>3</v>
      </c>
      <c r="E20" s="13">
        <f t="shared" si="0"/>
        <v>90</v>
      </c>
      <c r="F20" s="14">
        <f t="shared" si="5"/>
        <v>90</v>
      </c>
      <c r="G20" s="301">
        <f t="shared" si="4"/>
        <v>44</v>
      </c>
      <c r="H20" s="350">
        <v>34</v>
      </c>
      <c r="I20" s="13"/>
      <c r="J20" s="17">
        <v>10</v>
      </c>
      <c r="K20" s="350">
        <v>46</v>
      </c>
      <c r="L20" s="13"/>
      <c r="M20" s="13"/>
      <c r="N20" s="13"/>
      <c r="O20" s="13"/>
      <c r="P20" s="14" t="s">
        <v>67</v>
      </c>
      <c r="Q20" s="347">
        <f t="shared" si="1"/>
        <v>0</v>
      </c>
      <c r="R20" s="148">
        <f t="shared" si="2"/>
        <v>0</v>
      </c>
      <c r="S20" s="16"/>
      <c r="T20" s="13"/>
      <c r="U20" s="14"/>
      <c r="V20" s="16"/>
      <c r="W20" s="13"/>
      <c r="X20" s="13"/>
      <c r="Y20" s="13"/>
      <c r="Z20" s="13"/>
      <c r="AA20" s="17"/>
    </row>
    <row r="21" spans="1:27" ht="24.75" customHeight="1">
      <c r="A21" s="326" t="s">
        <v>35</v>
      </c>
      <c r="B21" s="323" t="s">
        <v>220</v>
      </c>
      <c r="C21" s="340">
        <v>90</v>
      </c>
      <c r="D21" s="342">
        <f t="shared" si="3"/>
        <v>3</v>
      </c>
      <c r="E21" s="13">
        <f t="shared" si="0"/>
        <v>90</v>
      </c>
      <c r="F21" s="14">
        <f t="shared" si="5"/>
        <v>90</v>
      </c>
      <c r="G21" s="301">
        <f t="shared" si="4"/>
        <v>56</v>
      </c>
      <c r="H21" s="350">
        <v>34</v>
      </c>
      <c r="I21" s="13"/>
      <c r="J21" s="17">
        <v>22</v>
      </c>
      <c r="K21" s="350">
        <v>34</v>
      </c>
      <c r="L21" s="13"/>
      <c r="M21" s="13"/>
      <c r="N21" s="13"/>
      <c r="O21" s="13"/>
      <c r="P21" s="14" t="s">
        <v>67</v>
      </c>
      <c r="Q21" s="347">
        <f t="shared" si="1"/>
        <v>0</v>
      </c>
      <c r="R21" s="148">
        <f t="shared" si="2"/>
        <v>0</v>
      </c>
      <c r="S21" s="16"/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326" t="s">
        <v>36</v>
      </c>
      <c r="B22" s="323" t="s">
        <v>221</v>
      </c>
      <c r="C22" s="340">
        <v>90</v>
      </c>
      <c r="D22" s="342">
        <f t="shared" si="3"/>
        <v>3</v>
      </c>
      <c r="E22" s="13">
        <f t="shared" si="0"/>
        <v>90</v>
      </c>
      <c r="F22" s="14">
        <f t="shared" si="5"/>
        <v>90</v>
      </c>
      <c r="G22" s="301">
        <f t="shared" si="4"/>
        <v>56</v>
      </c>
      <c r="H22" s="350">
        <v>34</v>
      </c>
      <c r="I22" s="13"/>
      <c r="J22" s="17">
        <v>22</v>
      </c>
      <c r="K22" s="350">
        <v>34</v>
      </c>
      <c r="L22" s="13"/>
      <c r="M22" s="13"/>
      <c r="N22" s="13"/>
      <c r="O22" s="13" t="s">
        <v>70</v>
      </c>
      <c r="P22" s="14"/>
      <c r="Q22" s="347">
        <f t="shared" si="1"/>
        <v>0</v>
      </c>
      <c r="R22" s="148">
        <f t="shared" si="2"/>
        <v>0</v>
      </c>
      <c r="S22" s="16"/>
      <c r="T22" s="13"/>
      <c r="U22" s="14"/>
      <c r="V22" s="16"/>
      <c r="W22" s="13"/>
      <c r="X22" s="13"/>
      <c r="Y22" s="13"/>
      <c r="Z22" s="13"/>
      <c r="AA22" s="17"/>
    </row>
    <row r="23" spans="1:27" ht="24.75" customHeight="1" thickBot="1">
      <c r="A23" s="326" t="s">
        <v>37</v>
      </c>
      <c r="B23" s="324" t="s">
        <v>222</v>
      </c>
      <c r="C23" s="340">
        <v>120</v>
      </c>
      <c r="D23" s="342">
        <f t="shared" si="3"/>
        <v>4</v>
      </c>
      <c r="E23" s="13">
        <f t="shared" si="0"/>
        <v>120</v>
      </c>
      <c r="F23" s="14">
        <f t="shared" si="5"/>
        <v>0</v>
      </c>
      <c r="G23" s="301">
        <f t="shared" si="4"/>
        <v>0</v>
      </c>
      <c r="H23" s="354"/>
      <c r="I23" s="13"/>
      <c r="J23" s="17"/>
      <c r="K23" s="350"/>
      <c r="L23" s="13"/>
      <c r="M23" s="13"/>
      <c r="N23" s="13"/>
      <c r="O23" s="13"/>
      <c r="P23" s="14"/>
      <c r="Q23" s="347">
        <f t="shared" si="1"/>
        <v>120</v>
      </c>
      <c r="R23" s="148">
        <f t="shared" si="2"/>
        <v>80</v>
      </c>
      <c r="S23" s="167">
        <v>50</v>
      </c>
      <c r="T23" s="13"/>
      <c r="U23" s="14">
        <v>30</v>
      </c>
      <c r="V23" s="16">
        <v>40</v>
      </c>
      <c r="W23" s="13"/>
      <c r="X23" s="13"/>
      <c r="Y23" s="13"/>
      <c r="Z23" s="13" t="s">
        <v>70</v>
      </c>
      <c r="AA23" s="17"/>
    </row>
    <row r="24" spans="1:27" ht="24.75" customHeight="1" thickBot="1">
      <c r="A24" s="374" t="s">
        <v>39</v>
      </c>
      <c r="B24" s="375" t="s">
        <v>367</v>
      </c>
      <c r="C24" s="217">
        <v>150</v>
      </c>
      <c r="D24" s="218">
        <f t="shared" si="3"/>
        <v>5</v>
      </c>
      <c r="E24" s="219">
        <f t="shared" si="0"/>
        <v>150</v>
      </c>
      <c r="F24" s="220">
        <f t="shared" si="5"/>
        <v>150</v>
      </c>
      <c r="G24" s="376">
        <f t="shared" si="4"/>
        <v>66</v>
      </c>
      <c r="H24" s="377">
        <v>36</v>
      </c>
      <c r="I24" s="219"/>
      <c r="J24" s="227">
        <v>30</v>
      </c>
      <c r="K24" s="377">
        <v>84</v>
      </c>
      <c r="L24" s="219"/>
      <c r="M24" s="219"/>
      <c r="N24" s="219"/>
      <c r="O24" s="219"/>
      <c r="P24" s="220" t="s">
        <v>67</v>
      </c>
      <c r="Q24" s="378">
        <f>V24+W24+X24+Y24+R24</f>
        <v>0</v>
      </c>
      <c r="R24" s="379">
        <f t="shared" si="2"/>
        <v>0</v>
      </c>
      <c r="S24" s="222"/>
      <c r="T24" s="224"/>
      <c r="U24" s="225"/>
      <c r="V24" s="226"/>
      <c r="W24" s="219"/>
      <c r="X24" s="219"/>
      <c r="Y24" s="219"/>
      <c r="Z24" s="219"/>
      <c r="AA24" s="227"/>
    </row>
    <row r="25" spans="1:27" s="239" customFormat="1" ht="24.75" customHeight="1" thickBot="1">
      <c r="A25" s="368" t="s">
        <v>40</v>
      </c>
      <c r="B25" s="369" t="s">
        <v>82</v>
      </c>
      <c r="C25" s="383">
        <v>180</v>
      </c>
      <c r="D25" s="382">
        <f t="shared" si="3"/>
        <v>6</v>
      </c>
      <c r="E25" s="105">
        <f t="shared" si="0"/>
        <v>180</v>
      </c>
      <c r="F25" s="381">
        <f t="shared" si="5"/>
        <v>180</v>
      </c>
      <c r="G25" s="348">
        <f t="shared" si="4"/>
        <v>120</v>
      </c>
      <c r="H25" s="372"/>
      <c r="I25" s="370"/>
      <c r="J25" s="249">
        <f>4*30</f>
        <v>120</v>
      </c>
      <c r="K25" s="372">
        <f>15*4</f>
        <v>60</v>
      </c>
      <c r="L25" s="370"/>
      <c r="M25" s="370"/>
      <c r="N25" s="370"/>
      <c r="O25" s="370"/>
      <c r="P25" s="371" t="s">
        <v>67</v>
      </c>
      <c r="Q25" s="380">
        <f>V25+X25+Y25+R25</f>
        <v>0</v>
      </c>
      <c r="R25" s="351">
        <f t="shared" si="2"/>
        <v>0</v>
      </c>
      <c r="S25" s="373"/>
      <c r="T25" s="370"/>
      <c r="U25" s="371"/>
      <c r="V25" s="373"/>
      <c r="W25" s="370"/>
      <c r="X25" s="370"/>
      <c r="Y25" s="370"/>
      <c r="Z25" s="370"/>
      <c r="AA25" s="249"/>
    </row>
    <row r="26" spans="1:27" s="239" customFormat="1" ht="24.75" customHeight="1" thickBot="1">
      <c r="A26" s="336" t="s">
        <v>41</v>
      </c>
      <c r="B26" s="360" t="s">
        <v>217</v>
      </c>
      <c r="C26" s="235">
        <v>135</v>
      </c>
      <c r="D26" s="382">
        <f t="shared" si="3"/>
        <v>4.5</v>
      </c>
      <c r="E26" s="105">
        <f t="shared" si="0"/>
        <v>135</v>
      </c>
      <c r="F26" s="381">
        <f t="shared" si="5"/>
        <v>0</v>
      </c>
      <c r="G26" s="348">
        <f t="shared" si="4"/>
        <v>0</v>
      </c>
      <c r="H26" s="175"/>
      <c r="I26" s="120"/>
      <c r="J26" s="121"/>
      <c r="K26" s="175"/>
      <c r="L26" s="120"/>
      <c r="M26" s="120"/>
      <c r="N26" s="120"/>
      <c r="O26" s="120"/>
      <c r="P26" s="21"/>
      <c r="Q26" s="380">
        <f>V26+X26+Y26+R26</f>
        <v>135</v>
      </c>
      <c r="R26" s="351">
        <f t="shared" si="2"/>
        <v>90</v>
      </c>
      <c r="S26" s="119"/>
      <c r="T26" s="120"/>
      <c r="U26" s="21">
        <f>3*30</f>
        <v>90</v>
      </c>
      <c r="V26" s="119">
        <v>45</v>
      </c>
      <c r="W26" s="120"/>
      <c r="X26" s="120"/>
      <c r="Y26" s="120"/>
      <c r="Z26" s="120"/>
      <c r="AA26" s="121" t="s">
        <v>67</v>
      </c>
    </row>
    <row r="27" spans="1:27" s="239" customFormat="1" ht="24.75" customHeight="1" thickBot="1">
      <c r="A27" s="337" t="s">
        <v>55</v>
      </c>
      <c r="B27" s="361" t="s">
        <v>218</v>
      </c>
      <c r="C27" s="338">
        <v>30</v>
      </c>
      <c r="D27" s="382">
        <f>E27/30</f>
        <v>1</v>
      </c>
      <c r="E27" s="105">
        <f t="shared" si="0"/>
        <v>30</v>
      </c>
      <c r="F27" s="381">
        <f>G27+K27+N27+M27</f>
        <v>0</v>
      </c>
      <c r="G27" s="348">
        <f t="shared" si="4"/>
        <v>0</v>
      </c>
      <c r="H27" s="352"/>
      <c r="I27" s="344"/>
      <c r="J27" s="345"/>
      <c r="K27" s="352"/>
      <c r="L27" s="344"/>
      <c r="M27" s="344"/>
      <c r="N27" s="344"/>
      <c r="O27" s="344"/>
      <c r="P27" s="353"/>
      <c r="Q27" s="380">
        <f>V27+X27+Y27+R27</f>
        <v>30</v>
      </c>
      <c r="R27" s="351">
        <f t="shared" si="2"/>
        <v>30</v>
      </c>
      <c r="S27" s="343"/>
      <c r="T27" s="355"/>
      <c r="U27" s="356">
        <v>30</v>
      </c>
      <c r="V27" s="357"/>
      <c r="W27" s="344"/>
      <c r="X27" s="344"/>
      <c r="Y27" s="344"/>
      <c r="Z27" s="105"/>
      <c r="AA27" s="345"/>
    </row>
    <row r="28" spans="1:27" ht="24.75" customHeight="1" thickBot="1">
      <c r="A28" s="28"/>
      <c r="B28" s="241" t="s">
        <v>42</v>
      </c>
      <c r="C28" s="33">
        <f>SUM(C14:C27)</f>
        <v>1500</v>
      </c>
      <c r="D28" s="38">
        <f>SUM(D14:D27)</f>
        <v>50</v>
      </c>
      <c r="E28" s="31">
        <f>SUM(E14:E27)</f>
        <v>1500</v>
      </c>
      <c r="F28" s="32">
        <f>SUM(F14:F27)</f>
        <v>840</v>
      </c>
      <c r="G28" s="33">
        <f>SUM(G14:G24)</f>
        <v>332</v>
      </c>
      <c r="H28" s="38">
        <f>SUM(H14:H27)</f>
        <v>206</v>
      </c>
      <c r="I28" s="31">
        <f>SUM(I14:I27)</f>
        <v>0</v>
      </c>
      <c r="J28" s="31">
        <f>SUM(J14:J27)</f>
        <v>246</v>
      </c>
      <c r="K28" s="31">
        <f>SUM(K14:K27)</f>
        <v>388</v>
      </c>
      <c r="L28" s="31">
        <v>2</v>
      </c>
      <c r="M28" s="31">
        <f>SUM(M14:M27)</f>
        <v>0</v>
      </c>
      <c r="N28" s="31">
        <f>SUM(N14:N27)</f>
        <v>0</v>
      </c>
      <c r="O28" s="31">
        <v>3</v>
      </c>
      <c r="P28" s="32">
        <v>3</v>
      </c>
      <c r="Q28" s="33">
        <f>SUM(Q14:Q27)</f>
        <v>660</v>
      </c>
      <c r="R28" s="37">
        <f>SUM(R14:R24)</f>
        <v>300</v>
      </c>
      <c r="S28" s="38">
        <f aca="true" t="shared" si="6" ref="S28:Y28">SUM(S14:S27)</f>
        <v>200</v>
      </c>
      <c r="T28" s="31">
        <f t="shared" si="6"/>
        <v>0</v>
      </c>
      <c r="U28" s="31">
        <f t="shared" si="6"/>
        <v>220</v>
      </c>
      <c r="V28" s="31">
        <f t="shared" si="6"/>
        <v>240</v>
      </c>
      <c r="W28" s="31">
        <f t="shared" si="6"/>
        <v>0</v>
      </c>
      <c r="X28" s="31">
        <f t="shared" si="6"/>
        <v>0</v>
      </c>
      <c r="Y28" s="31">
        <f t="shared" si="6"/>
        <v>0</v>
      </c>
      <c r="Z28" s="31">
        <v>3</v>
      </c>
      <c r="AA28" s="31">
        <v>2</v>
      </c>
    </row>
    <row r="29" spans="1:27" ht="24.75" customHeight="1" thickBot="1">
      <c r="A29" s="589"/>
      <c r="B29" s="384" t="s">
        <v>43</v>
      </c>
      <c r="C29" s="46"/>
      <c r="D29" s="387"/>
      <c r="E29" s="47"/>
      <c r="F29" s="388"/>
      <c r="G29" s="389">
        <f>G28/J10</f>
        <v>30.181818181818183</v>
      </c>
      <c r="H29" s="46"/>
      <c r="I29" s="47"/>
      <c r="J29" s="47"/>
      <c r="K29" s="47"/>
      <c r="L29" s="47"/>
      <c r="M29" s="47"/>
      <c r="N29" s="47"/>
      <c r="O29" s="48"/>
      <c r="P29" s="49"/>
      <c r="Q29" s="388"/>
      <c r="R29" s="390">
        <f>SUM(R14:R24)/U10</f>
        <v>30</v>
      </c>
      <c r="S29" s="391"/>
      <c r="T29" s="47"/>
      <c r="U29" s="47"/>
      <c r="V29" s="47"/>
      <c r="W29" s="47"/>
      <c r="X29" s="47"/>
      <c r="Y29" s="47"/>
      <c r="Z29" s="48"/>
      <c r="AA29" s="49"/>
    </row>
    <row r="30" spans="1:27" ht="24.75" customHeight="1" thickBot="1">
      <c r="A30" s="590"/>
      <c r="B30" s="385" t="s">
        <v>44</v>
      </c>
      <c r="C30" s="57"/>
      <c r="D30" s="54"/>
      <c r="E30" s="43"/>
      <c r="F30" s="55"/>
      <c r="G30" s="56"/>
      <c r="H30" s="57"/>
      <c r="I30" s="43"/>
      <c r="J30" s="43"/>
      <c r="K30" s="43"/>
      <c r="L30" s="43"/>
      <c r="M30" s="43"/>
      <c r="N30" s="58"/>
      <c r="O30" s="39">
        <v>3</v>
      </c>
      <c r="P30" s="59"/>
      <c r="Q30" s="60"/>
      <c r="R30" s="61"/>
      <c r="S30" s="62"/>
      <c r="T30" s="62"/>
      <c r="U30" s="62"/>
      <c r="V30" s="62"/>
      <c r="W30" s="62"/>
      <c r="X30" s="62"/>
      <c r="Y30" s="58"/>
      <c r="Z30" s="39">
        <v>3</v>
      </c>
      <c r="AA30" s="144"/>
    </row>
    <row r="31" spans="1:27" ht="24.75" customHeight="1" thickBot="1">
      <c r="A31" s="590"/>
      <c r="B31" s="385" t="s">
        <v>45</v>
      </c>
      <c r="C31" s="57"/>
      <c r="D31" s="54"/>
      <c r="E31" s="43"/>
      <c r="F31" s="55"/>
      <c r="G31" s="58"/>
      <c r="H31" s="57"/>
      <c r="I31" s="43"/>
      <c r="J31" s="43"/>
      <c r="K31" s="43"/>
      <c r="L31" s="63"/>
      <c r="M31" s="43"/>
      <c r="N31" s="62"/>
      <c r="O31" s="56"/>
      <c r="P31" s="39">
        <v>4</v>
      </c>
      <c r="Q31" s="60"/>
      <c r="R31" s="62"/>
      <c r="S31" s="62"/>
      <c r="T31" s="62"/>
      <c r="U31" s="62"/>
      <c r="V31" s="62"/>
      <c r="W31" s="64"/>
      <c r="X31" s="62"/>
      <c r="Y31" s="62"/>
      <c r="Z31" s="56"/>
      <c r="AA31" s="39">
        <v>3</v>
      </c>
    </row>
    <row r="32" spans="1:27" ht="24.75" customHeight="1" thickBot="1">
      <c r="A32" s="590"/>
      <c r="B32" s="386" t="s">
        <v>46</v>
      </c>
      <c r="C32" s="68"/>
      <c r="D32" s="70"/>
      <c r="E32" s="69"/>
      <c r="F32" s="71"/>
      <c r="G32" s="70"/>
      <c r="H32" s="68"/>
      <c r="I32" s="69"/>
      <c r="J32" s="69"/>
      <c r="K32" s="70"/>
      <c r="L32" s="39">
        <v>2</v>
      </c>
      <c r="M32" s="71"/>
      <c r="N32" s="72"/>
      <c r="O32" s="72"/>
      <c r="P32" s="73"/>
      <c r="Q32" s="392"/>
      <c r="R32" s="72"/>
      <c r="S32" s="72"/>
      <c r="T32" s="72"/>
      <c r="U32" s="72"/>
      <c r="V32" s="393"/>
      <c r="W32" s="39">
        <v>0</v>
      </c>
      <c r="X32" s="71"/>
      <c r="Y32" s="69"/>
      <c r="Z32" s="72"/>
      <c r="AA32" s="73"/>
    </row>
    <row r="33" spans="1:27" ht="24.75" customHeight="1" thickBot="1">
      <c r="A33" s="591"/>
      <c r="B33" s="137" t="s">
        <v>47</v>
      </c>
      <c r="C33" s="77">
        <f>SUM(C29:C32)</f>
        <v>0</v>
      </c>
      <c r="D33" s="77">
        <f aca="true" t="shared" si="7" ref="D33:AA33">SUM(D29:D32)</f>
        <v>0</v>
      </c>
      <c r="E33" s="77">
        <f t="shared" si="7"/>
        <v>0</v>
      </c>
      <c r="F33" s="77">
        <f t="shared" si="7"/>
        <v>0</v>
      </c>
      <c r="G33" s="78">
        <f>SUM(G29:G32)</f>
        <v>30.181818181818183</v>
      </c>
      <c r="H33" s="31">
        <f t="shared" si="7"/>
        <v>0</v>
      </c>
      <c r="I33" s="31">
        <f t="shared" si="7"/>
        <v>0</v>
      </c>
      <c r="J33" s="31">
        <f t="shared" si="7"/>
        <v>0</v>
      </c>
      <c r="K33" s="32">
        <f t="shared" si="7"/>
        <v>0</v>
      </c>
      <c r="L33" s="39">
        <f t="shared" si="7"/>
        <v>2</v>
      </c>
      <c r="M33" s="38">
        <f t="shared" si="7"/>
        <v>0</v>
      </c>
      <c r="N33" s="31">
        <f t="shared" si="7"/>
        <v>0</v>
      </c>
      <c r="O33" s="31">
        <f t="shared" si="7"/>
        <v>3</v>
      </c>
      <c r="P33" s="31">
        <f t="shared" si="7"/>
        <v>4</v>
      </c>
      <c r="Q33" s="77">
        <f t="shared" si="7"/>
        <v>0</v>
      </c>
      <c r="R33" s="78">
        <f t="shared" si="7"/>
        <v>30</v>
      </c>
      <c r="S33" s="77">
        <f t="shared" si="7"/>
        <v>0</v>
      </c>
      <c r="T33" s="77">
        <f t="shared" si="7"/>
        <v>0</v>
      </c>
      <c r="U33" s="77">
        <f t="shared" si="7"/>
        <v>0</v>
      </c>
      <c r="V33" s="79">
        <f t="shared" si="7"/>
        <v>0</v>
      </c>
      <c r="W33" s="39">
        <f t="shared" si="7"/>
        <v>0</v>
      </c>
      <c r="X33" s="243">
        <f t="shared" si="7"/>
        <v>0</v>
      </c>
      <c r="Y33" s="77">
        <f t="shared" si="7"/>
        <v>0</v>
      </c>
      <c r="Z33" s="77">
        <f>SUM(Z29:Z32)</f>
        <v>3</v>
      </c>
      <c r="AA33" s="146">
        <f t="shared" si="7"/>
        <v>3</v>
      </c>
    </row>
    <row r="34" spans="1:27" ht="24.75" customHeight="1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0.25">
      <c r="A36" s="80"/>
      <c r="B36" s="80"/>
      <c r="C36" s="81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26.25">
      <c r="A37" s="1"/>
      <c r="B37" s="82" t="s">
        <v>60</v>
      </c>
      <c r="C37" s="82"/>
      <c r="D37" s="82"/>
      <c r="E37" s="82"/>
      <c r="F37" s="82"/>
      <c r="G37" s="82"/>
      <c r="H37" s="82"/>
      <c r="I37" s="82"/>
      <c r="J37" s="82"/>
      <c r="K37" s="82" t="s">
        <v>59</v>
      </c>
      <c r="L37" s="82"/>
      <c r="M37" s="82"/>
      <c r="N37" s="82"/>
      <c r="O37" s="82"/>
      <c r="P37" s="82"/>
      <c r="Q37" s="82"/>
      <c r="R37" s="83"/>
      <c r="S37" s="83"/>
      <c r="T37" s="84"/>
      <c r="U37" s="85"/>
      <c r="V37" s="85"/>
      <c r="W37" s="85"/>
      <c r="X37" s="85"/>
      <c r="Y37" s="86"/>
      <c r="Z37" s="86"/>
      <c r="AA37" s="86"/>
    </row>
    <row r="38" spans="1:27" ht="26.25">
      <c r="A38" s="87"/>
      <c r="B38" s="592"/>
      <c r="C38" s="592"/>
      <c r="D38" s="592"/>
      <c r="E38" s="592"/>
      <c r="F38" s="592"/>
      <c r="G38" s="592"/>
      <c r="H38" s="592"/>
      <c r="I38" s="592"/>
      <c r="J38" s="592"/>
      <c r="K38" s="87"/>
      <c r="L38" s="87"/>
      <c r="M38" s="87"/>
      <c r="N38" s="87"/>
      <c r="O38" s="87"/>
      <c r="P38" s="87"/>
      <c r="Q38" s="87"/>
      <c r="R38" s="87" t="s">
        <v>48</v>
      </c>
      <c r="S38" s="89"/>
      <c r="T38" s="90" t="s">
        <v>49</v>
      </c>
      <c r="U38" s="91" t="s">
        <v>50</v>
      </c>
      <c r="V38" s="91"/>
      <c r="W38" s="91"/>
      <c r="X38" s="90"/>
      <c r="Y38" s="90"/>
      <c r="Z38" s="92"/>
      <c r="AA38" s="92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/>
      <c r="L39" s="82"/>
      <c r="M39" s="82"/>
      <c r="N39" s="82"/>
      <c r="O39" s="82"/>
      <c r="P39" s="82"/>
      <c r="Q39" s="82"/>
      <c r="R39" s="82"/>
      <c r="S39" s="82"/>
      <c r="T39" s="84"/>
      <c r="U39" s="84"/>
      <c r="V39" s="84"/>
      <c r="W39" s="84"/>
      <c r="X39" s="93"/>
      <c r="Y39" s="93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2" t="s">
        <v>51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94"/>
      <c r="AA40" s="94"/>
    </row>
    <row r="41" spans="1:27" ht="26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52</v>
      </c>
      <c r="U41" s="91" t="s">
        <v>50</v>
      </c>
      <c r="V41" s="91"/>
      <c r="W41" s="91"/>
      <c r="X41" s="90"/>
      <c r="Y41" s="90"/>
      <c r="Z41" s="94"/>
      <c r="AA41" s="94"/>
    </row>
  </sheetData>
  <sheetProtection/>
  <mergeCells count="42">
    <mergeCell ref="A29:A33"/>
    <mergeCell ref="B38:J38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4"/>
  <sheetViews>
    <sheetView zoomScale="70" zoomScaleNormal="70" zoomScalePageLayoutView="0" workbookViewId="0" topLeftCell="A1">
      <selection activeCell="AA44" sqref="A1:AA44"/>
    </sheetView>
  </sheetViews>
  <sheetFormatPr defaultColWidth="9.140625" defaultRowHeight="15"/>
  <cols>
    <col min="2" max="2" width="6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52.5" customHeight="1">
      <c r="A5" s="1" t="s">
        <v>5</v>
      </c>
      <c r="B5" s="1"/>
      <c r="C5" s="559" t="s">
        <v>212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556" t="s">
        <v>337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236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0">F14+Q14</f>
        <v>78</v>
      </c>
      <c r="F14" s="11">
        <f aca="true" t="shared" si="1" ref="F14:F30">G14+K14+N14+M14</f>
        <v>34</v>
      </c>
      <c r="G14" s="147">
        <f>H14+I14+J14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0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148">
        <f aca="true" t="shared" si="3" ref="G15:G30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4" ref="Q15:Q30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4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148">
        <f t="shared" si="3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4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148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4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148">
        <f t="shared" si="3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4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232</v>
      </c>
      <c r="D20" s="12">
        <v>0</v>
      </c>
      <c r="E20" s="120">
        <f t="shared" si="0"/>
        <v>112</v>
      </c>
      <c r="F20" s="17">
        <f t="shared" si="1"/>
        <v>68</v>
      </c>
      <c r="G20" s="148">
        <f t="shared" si="3"/>
        <v>68</v>
      </c>
      <c r="H20" s="119">
        <f>4*17</f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4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t="shared" si="1"/>
        <v>50</v>
      </c>
      <c r="G21" s="148">
        <f t="shared" si="3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4"/>
        <v>66</v>
      </c>
      <c r="R21" s="15">
        <f t="shared" si="2"/>
        <v>66</v>
      </c>
      <c r="S21" s="16">
        <f>66</f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1"/>
        <v>34</v>
      </c>
      <c r="G22" s="148">
        <f t="shared" si="3"/>
        <v>34</v>
      </c>
      <c r="H22" s="16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4"/>
        <v>66</v>
      </c>
      <c r="R22" s="15">
        <f>S22+T22+U22</f>
        <v>66</v>
      </c>
      <c r="S22" s="16">
        <f>66</f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1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4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1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4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1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4"/>
        <v>88</v>
      </c>
      <c r="R25" s="15">
        <f>S25+T25+U25</f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112</v>
      </c>
      <c r="D26" s="291">
        <v>0</v>
      </c>
      <c r="E26" s="95">
        <f t="shared" si="0"/>
        <v>112</v>
      </c>
      <c r="F26" s="99">
        <f t="shared" si="1"/>
        <v>68</v>
      </c>
      <c r="G26" s="149">
        <f t="shared" si="3"/>
        <v>68</v>
      </c>
      <c r="H26" s="98">
        <v>68</v>
      </c>
      <c r="I26" s="95"/>
      <c r="J26" s="96"/>
      <c r="K26" s="98"/>
      <c r="L26" s="95"/>
      <c r="M26" s="95"/>
      <c r="N26" s="95"/>
      <c r="O26" s="95"/>
      <c r="P26" s="96"/>
      <c r="Q26" s="165">
        <f t="shared" si="4"/>
        <v>44</v>
      </c>
      <c r="R26" s="97">
        <f>S26+T26+U26</f>
        <v>44</v>
      </c>
      <c r="S26" s="98"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158">
        <v>60</v>
      </c>
      <c r="D27" s="6">
        <f>E27/30</f>
        <v>2</v>
      </c>
      <c r="E27" s="7">
        <f t="shared" si="0"/>
        <v>60</v>
      </c>
      <c r="F27" s="11">
        <f t="shared" si="1"/>
        <v>60</v>
      </c>
      <c r="G27" s="259">
        <f t="shared" si="3"/>
        <v>34</v>
      </c>
      <c r="H27" s="10">
        <v>18</v>
      </c>
      <c r="I27" s="7"/>
      <c r="J27" s="8">
        <v>16</v>
      </c>
      <c r="K27" s="10">
        <v>26</v>
      </c>
      <c r="L27" s="7"/>
      <c r="M27" s="7"/>
      <c r="N27" s="7"/>
      <c r="O27" s="7"/>
      <c r="P27" s="8" t="s">
        <v>88</v>
      </c>
      <c r="Q27" s="163">
        <f t="shared" si="4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151</v>
      </c>
      <c r="C28" s="159">
        <v>60</v>
      </c>
      <c r="D28" s="12">
        <f>E28/30</f>
        <v>2</v>
      </c>
      <c r="E28" s="13">
        <f t="shared" si="0"/>
        <v>60</v>
      </c>
      <c r="F28" s="17">
        <f t="shared" si="1"/>
        <v>60</v>
      </c>
      <c r="G28" s="301">
        <f t="shared" si="3"/>
        <v>34</v>
      </c>
      <c r="H28" s="16">
        <v>18</v>
      </c>
      <c r="I28" s="13"/>
      <c r="J28" s="14">
        <v>16</v>
      </c>
      <c r="K28" s="16">
        <v>26</v>
      </c>
      <c r="L28" s="13"/>
      <c r="M28" s="13"/>
      <c r="N28" s="13"/>
      <c r="O28" s="13"/>
      <c r="P28" s="14" t="s">
        <v>91</v>
      </c>
      <c r="Q28" s="164">
        <f t="shared" si="4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234" t="s">
        <v>56</v>
      </c>
      <c r="B29" s="156" t="s">
        <v>117</v>
      </c>
      <c r="C29" s="159">
        <v>120</v>
      </c>
      <c r="D29" s="12">
        <f>E29/30</f>
        <v>4</v>
      </c>
      <c r="E29" s="13">
        <f t="shared" si="0"/>
        <v>120</v>
      </c>
      <c r="F29" s="17">
        <f t="shared" si="1"/>
        <v>50</v>
      </c>
      <c r="G29" s="301">
        <f t="shared" si="3"/>
        <v>34</v>
      </c>
      <c r="H29" s="16">
        <v>24</v>
      </c>
      <c r="I29" s="13"/>
      <c r="J29" s="14">
        <v>10</v>
      </c>
      <c r="K29" s="16">
        <v>16</v>
      </c>
      <c r="L29" s="13"/>
      <c r="M29" s="13"/>
      <c r="N29" s="13"/>
      <c r="O29" s="13"/>
      <c r="P29" s="14" t="s">
        <v>91</v>
      </c>
      <c r="Q29" s="164">
        <f t="shared" si="4"/>
        <v>70</v>
      </c>
      <c r="R29" s="15">
        <f t="shared" si="2"/>
        <v>44</v>
      </c>
      <c r="S29" s="16">
        <v>24</v>
      </c>
      <c r="T29" s="166"/>
      <c r="U29" s="298">
        <v>20</v>
      </c>
      <c r="V29" s="20">
        <f>42-16</f>
        <v>26</v>
      </c>
      <c r="W29" s="13"/>
      <c r="X29" s="13"/>
      <c r="Y29" s="13"/>
      <c r="Z29" s="13"/>
      <c r="AA29" s="121" t="s">
        <v>67</v>
      </c>
    </row>
    <row r="30" spans="1:27" ht="21" thickBot="1">
      <c r="A30" s="186" t="s">
        <v>57</v>
      </c>
      <c r="B30" s="157" t="s">
        <v>152</v>
      </c>
      <c r="C30" s="292">
        <v>90</v>
      </c>
      <c r="D30" s="291">
        <f>E30/30</f>
        <v>3</v>
      </c>
      <c r="E30" s="95">
        <f t="shared" si="0"/>
        <v>90</v>
      </c>
      <c r="F30" s="99">
        <f t="shared" si="1"/>
        <v>0</v>
      </c>
      <c r="G30" s="302">
        <f t="shared" si="3"/>
        <v>0</v>
      </c>
      <c r="H30" s="98"/>
      <c r="I30" s="95"/>
      <c r="J30" s="96"/>
      <c r="K30" s="98"/>
      <c r="L30" s="95"/>
      <c r="M30" s="95"/>
      <c r="N30" s="95"/>
      <c r="O30" s="95"/>
      <c r="P30" s="96"/>
      <c r="Q30" s="165">
        <f t="shared" si="4"/>
        <v>90</v>
      </c>
      <c r="R30" s="97">
        <f t="shared" si="2"/>
        <v>44</v>
      </c>
      <c r="S30" s="98">
        <v>22</v>
      </c>
      <c r="T30" s="250"/>
      <c r="U30" s="300">
        <v>22</v>
      </c>
      <c r="V30" s="162">
        <v>46</v>
      </c>
      <c r="W30" s="95"/>
      <c r="X30" s="95"/>
      <c r="Y30" s="95"/>
      <c r="Z30" s="95"/>
      <c r="AA30" s="107" t="s">
        <v>67</v>
      </c>
    </row>
    <row r="31" spans="1:27" ht="21" thickBot="1">
      <c r="A31" s="240"/>
      <c r="B31" s="241" t="s">
        <v>42</v>
      </c>
      <c r="C31" s="242">
        <f aca="true" t="shared" si="5" ref="C31:N31">SUM(C14:C30)</f>
        <v>2126</v>
      </c>
      <c r="D31" s="242">
        <f t="shared" si="5"/>
        <v>11</v>
      </c>
      <c r="E31" s="242">
        <f t="shared" si="5"/>
        <v>1504</v>
      </c>
      <c r="F31" s="242">
        <f t="shared" si="5"/>
        <v>662</v>
      </c>
      <c r="G31" s="242">
        <f t="shared" si="5"/>
        <v>594</v>
      </c>
      <c r="H31" s="242">
        <f t="shared" si="5"/>
        <v>526</v>
      </c>
      <c r="I31" s="242">
        <f t="shared" si="5"/>
        <v>10</v>
      </c>
      <c r="J31" s="242">
        <f t="shared" si="5"/>
        <v>58</v>
      </c>
      <c r="K31" s="242">
        <f t="shared" si="5"/>
        <v>68</v>
      </c>
      <c r="L31" s="242">
        <f t="shared" si="5"/>
        <v>0</v>
      </c>
      <c r="M31" s="242">
        <f t="shared" si="5"/>
        <v>0</v>
      </c>
      <c r="N31" s="242">
        <f t="shared" si="5"/>
        <v>0</v>
      </c>
      <c r="O31" s="242">
        <v>0</v>
      </c>
      <c r="P31" s="242">
        <v>3</v>
      </c>
      <c r="Q31" s="39">
        <f aca="true" t="shared" si="6" ref="Q31:Y31">SUM(Q14:Q30)</f>
        <v>842</v>
      </c>
      <c r="R31" s="39">
        <f t="shared" si="6"/>
        <v>770</v>
      </c>
      <c r="S31" s="39">
        <f t="shared" si="6"/>
        <v>708</v>
      </c>
      <c r="T31" s="39">
        <f t="shared" si="6"/>
        <v>10</v>
      </c>
      <c r="U31" s="39">
        <f t="shared" si="6"/>
        <v>52</v>
      </c>
      <c r="V31" s="39">
        <f t="shared" si="6"/>
        <v>72</v>
      </c>
      <c r="W31" s="39">
        <f t="shared" si="6"/>
        <v>0</v>
      </c>
      <c r="X31" s="39">
        <f t="shared" si="6"/>
        <v>0</v>
      </c>
      <c r="Y31" s="39">
        <f t="shared" si="6"/>
        <v>0</v>
      </c>
      <c r="Z31" s="39">
        <v>0</v>
      </c>
      <c r="AA31" s="39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34.94117647058823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39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7" ref="D36:AA36">SUM(D32:D35)</f>
        <v>0</v>
      </c>
      <c r="E36" s="77">
        <f t="shared" si="7"/>
        <v>0</v>
      </c>
      <c r="F36" s="79">
        <f t="shared" si="7"/>
        <v>0</v>
      </c>
      <c r="G36" s="390">
        <f>SUM(G32:G35)</f>
        <v>34.94117647058823</v>
      </c>
      <c r="H36" s="38">
        <f t="shared" si="7"/>
        <v>0</v>
      </c>
      <c r="I36" s="31">
        <f t="shared" si="7"/>
        <v>0</v>
      </c>
      <c r="J36" s="31">
        <f t="shared" si="7"/>
        <v>0</v>
      </c>
      <c r="K36" s="32">
        <f t="shared" si="7"/>
        <v>0</v>
      </c>
      <c r="L36" s="39">
        <f t="shared" si="7"/>
        <v>0</v>
      </c>
      <c r="M36" s="38">
        <f t="shared" si="7"/>
        <v>0</v>
      </c>
      <c r="N36" s="31">
        <f t="shared" si="7"/>
        <v>0</v>
      </c>
      <c r="O36" s="31">
        <f t="shared" si="7"/>
        <v>0</v>
      </c>
      <c r="P36" s="31">
        <f t="shared" si="7"/>
        <v>3</v>
      </c>
      <c r="Q36" s="79">
        <f t="shared" si="7"/>
        <v>0</v>
      </c>
      <c r="R36" s="390">
        <f t="shared" si="7"/>
        <v>35</v>
      </c>
      <c r="S36" s="243">
        <f t="shared" si="7"/>
        <v>0</v>
      </c>
      <c r="T36" s="77">
        <f t="shared" si="7"/>
        <v>0</v>
      </c>
      <c r="U36" s="77">
        <f t="shared" si="7"/>
        <v>0</v>
      </c>
      <c r="V36" s="77">
        <f t="shared" si="7"/>
        <v>0</v>
      </c>
      <c r="W36" s="77">
        <f t="shared" si="7"/>
        <v>0</v>
      </c>
      <c r="X36" s="77">
        <f t="shared" si="7"/>
        <v>0</v>
      </c>
      <c r="Y36" s="77">
        <f t="shared" si="7"/>
        <v>0</v>
      </c>
      <c r="Z36" s="77">
        <f t="shared" si="7"/>
        <v>0</v>
      </c>
      <c r="AA36" s="146">
        <f t="shared" si="7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4"/>
  <sheetViews>
    <sheetView zoomScale="70" zoomScaleNormal="70" zoomScalePageLayoutView="0" workbookViewId="0" topLeftCell="A19">
      <selection activeCell="AA44" sqref="A1:AA44"/>
    </sheetView>
  </sheetViews>
  <sheetFormatPr defaultColWidth="9.140625" defaultRowHeight="15"/>
  <cols>
    <col min="2" max="2" width="6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238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268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0">F14+Q14</f>
        <v>78</v>
      </c>
      <c r="F14" s="11">
        <f aca="true" t="shared" si="1" ref="F14:F30">G14+K14+N14+M14</f>
        <v>34</v>
      </c>
      <c r="G14" s="147">
        <f>H14+I14+J14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0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148">
        <f aca="true" t="shared" si="3" ref="G15:G30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4" ref="Q15:Q30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4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148">
        <f t="shared" si="3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4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148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4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148">
        <f t="shared" si="3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4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232</v>
      </c>
      <c r="D20" s="12">
        <v>0</v>
      </c>
      <c r="E20" s="120">
        <f t="shared" si="0"/>
        <v>112</v>
      </c>
      <c r="F20" s="17">
        <f t="shared" si="1"/>
        <v>68</v>
      </c>
      <c r="G20" s="148">
        <f t="shared" si="3"/>
        <v>68</v>
      </c>
      <c r="H20" s="119">
        <f>17*4</f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4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t="shared" si="1"/>
        <v>50</v>
      </c>
      <c r="G21" s="148">
        <f t="shared" si="3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4"/>
        <v>66</v>
      </c>
      <c r="R21" s="15">
        <f t="shared" si="2"/>
        <v>66</v>
      </c>
      <c r="S21" s="16">
        <f>3*22</f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1"/>
        <v>34</v>
      </c>
      <c r="G22" s="148">
        <f t="shared" si="3"/>
        <v>34</v>
      </c>
      <c r="H22" s="16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4"/>
        <v>66</v>
      </c>
      <c r="R22" s="15">
        <f>S22+T22+U22</f>
        <v>66</v>
      </c>
      <c r="S22" s="16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1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4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1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4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1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4"/>
        <v>88</v>
      </c>
      <c r="R25" s="15">
        <f>S25+T25+U25</f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144</v>
      </c>
      <c r="D26" s="291">
        <v>0</v>
      </c>
      <c r="E26" s="95">
        <f t="shared" si="0"/>
        <v>112</v>
      </c>
      <c r="F26" s="99">
        <f t="shared" si="1"/>
        <v>68</v>
      </c>
      <c r="G26" s="149">
        <f t="shared" si="3"/>
        <v>68</v>
      </c>
      <c r="H26" s="98">
        <v>68</v>
      </c>
      <c r="I26" s="95"/>
      <c r="J26" s="96"/>
      <c r="K26" s="98"/>
      <c r="L26" s="95"/>
      <c r="M26" s="95"/>
      <c r="N26" s="95"/>
      <c r="O26" s="95"/>
      <c r="P26" s="96"/>
      <c r="Q26" s="165">
        <f t="shared" si="4"/>
        <v>44</v>
      </c>
      <c r="R26" s="97">
        <f>S26+T26+U26</f>
        <v>44</v>
      </c>
      <c r="S26" s="98"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158">
        <v>90</v>
      </c>
      <c r="D27" s="6">
        <f>E27/30</f>
        <v>3</v>
      </c>
      <c r="E27" s="7">
        <f t="shared" si="0"/>
        <v>90</v>
      </c>
      <c r="F27" s="11">
        <f t="shared" si="1"/>
        <v>90</v>
      </c>
      <c r="G27" s="259">
        <f t="shared" si="3"/>
        <v>34</v>
      </c>
      <c r="H27" s="10">
        <v>18</v>
      </c>
      <c r="I27" s="7"/>
      <c r="J27" s="8">
        <v>16</v>
      </c>
      <c r="K27" s="10">
        <v>56</v>
      </c>
      <c r="L27" s="7"/>
      <c r="M27" s="7"/>
      <c r="N27" s="7"/>
      <c r="O27" s="7"/>
      <c r="P27" s="8" t="s">
        <v>88</v>
      </c>
      <c r="Q27" s="163">
        <f t="shared" si="4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151</v>
      </c>
      <c r="C28" s="159">
        <v>90</v>
      </c>
      <c r="D28" s="12">
        <f>E28/30</f>
        <v>3</v>
      </c>
      <c r="E28" s="13">
        <f t="shared" si="0"/>
        <v>90</v>
      </c>
      <c r="F28" s="17">
        <f t="shared" si="1"/>
        <v>90</v>
      </c>
      <c r="G28" s="301">
        <f t="shared" si="3"/>
        <v>34</v>
      </c>
      <c r="H28" s="16">
        <v>18</v>
      </c>
      <c r="I28" s="13"/>
      <c r="J28" s="14">
        <v>16</v>
      </c>
      <c r="K28" s="16">
        <v>56</v>
      </c>
      <c r="L28" s="13"/>
      <c r="M28" s="13"/>
      <c r="N28" s="13"/>
      <c r="O28" s="13"/>
      <c r="P28" s="14" t="s">
        <v>91</v>
      </c>
      <c r="Q28" s="164">
        <f t="shared" si="4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234" t="s">
        <v>56</v>
      </c>
      <c r="B29" s="156" t="s">
        <v>117</v>
      </c>
      <c r="C29" s="159">
        <v>120</v>
      </c>
      <c r="D29" s="12">
        <f>E29/30</f>
        <v>4</v>
      </c>
      <c r="E29" s="13">
        <f t="shared" si="0"/>
        <v>120</v>
      </c>
      <c r="F29" s="17">
        <f t="shared" si="1"/>
        <v>60</v>
      </c>
      <c r="G29" s="301">
        <f t="shared" si="3"/>
        <v>34</v>
      </c>
      <c r="H29" s="16">
        <v>18</v>
      </c>
      <c r="I29" s="13"/>
      <c r="J29" s="14">
        <f>38-22</f>
        <v>16</v>
      </c>
      <c r="K29" s="16">
        <v>26</v>
      </c>
      <c r="L29" s="13"/>
      <c r="M29" s="13"/>
      <c r="N29" s="13"/>
      <c r="O29" s="13"/>
      <c r="P29" s="14" t="s">
        <v>91</v>
      </c>
      <c r="Q29" s="164">
        <f t="shared" si="4"/>
        <v>60</v>
      </c>
      <c r="R29" s="15">
        <f t="shared" si="2"/>
        <v>44</v>
      </c>
      <c r="S29" s="16">
        <v>22</v>
      </c>
      <c r="T29" s="166"/>
      <c r="U29" s="298">
        <v>22</v>
      </c>
      <c r="V29" s="20">
        <f>42-26</f>
        <v>16</v>
      </c>
      <c r="W29" s="13"/>
      <c r="X29" s="13"/>
      <c r="Y29" s="13"/>
      <c r="Z29" s="13"/>
      <c r="AA29" s="121" t="s">
        <v>67</v>
      </c>
    </row>
    <row r="30" spans="1:27" ht="21" thickBot="1">
      <c r="A30" s="186" t="s">
        <v>57</v>
      </c>
      <c r="B30" s="157" t="s">
        <v>152</v>
      </c>
      <c r="C30" s="292">
        <v>75</v>
      </c>
      <c r="D30" s="291">
        <f>E30/30</f>
        <v>2.5</v>
      </c>
      <c r="E30" s="95">
        <f t="shared" si="0"/>
        <v>75</v>
      </c>
      <c r="F30" s="99">
        <f t="shared" si="1"/>
        <v>0</v>
      </c>
      <c r="G30" s="302">
        <f t="shared" si="3"/>
        <v>0</v>
      </c>
      <c r="H30" s="98"/>
      <c r="I30" s="95"/>
      <c r="J30" s="96"/>
      <c r="K30" s="98"/>
      <c r="L30" s="95"/>
      <c r="M30" s="95"/>
      <c r="N30" s="95"/>
      <c r="O30" s="95"/>
      <c r="P30" s="96"/>
      <c r="Q30" s="165">
        <f t="shared" si="4"/>
        <v>75</v>
      </c>
      <c r="R30" s="97">
        <f t="shared" si="2"/>
        <v>44</v>
      </c>
      <c r="S30" s="98">
        <v>22</v>
      </c>
      <c r="T30" s="250"/>
      <c r="U30" s="300">
        <v>22</v>
      </c>
      <c r="V30" s="162">
        <v>31</v>
      </c>
      <c r="W30" s="95"/>
      <c r="X30" s="95"/>
      <c r="Y30" s="95"/>
      <c r="Z30" s="95"/>
      <c r="AA30" s="107" t="s">
        <v>67</v>
      </c>
    </row>
    <row r="31" spans="1:27" ht="21" thickBot="1">
      <c r="A31" s="240"/>
      <c r="B31" s="241" t="s">
        <v>42</v>
      </c>
      <c r="C31" s="242">
        <f aca="true" t="shared" si="5" ref="C31:N31">SUM(C14:C30)</f>
        <v>2203</v>
      </c>
      <c r="D31" s="242">
        <f t="shared" si="5"/>
        <v>12.5</v>
      </c>
      <c r="E31" s="242">
        <f t="shared" si="5"/>
        <v>1549</v>
      </c>
      <c r="F31" s="242">
        <f t="shared" si="5"/>
        <v>732</v>
      </c>
      <c r="G31" s="242">
        <f t="shared" si="5"/>
        <v>594</v>
      </c>
      <c r="H31" s="242">
        <f t="shared" si="5"/>
        <v>520</v>
      </c>
      <c r="I31" s="242">
        <f t="shared" si="5"/>
        <v>10</v>
      </c>
      <c r="J31" s="242">
        <f t="shared" si="5"/>
        <v>64</v>
      </c>
      <c r="K31" s="242">
        <f t="shared" si="5"/>
        <v>138</v>
      </c>
      <c r="L31" s="242">
        <f t="shared" si="5"/>
        <v>0</v>
      </c>
      <c r="M31" s="242">
        <f t="shared" si="5"/>
        <v>0</v>
      </c>
      <c r="N31" s="242">
        <f t="shared" si="5"/>
        <v>0</v>
      </c>
      <c r="O31" s="242">
        <v>0</v>
      </c>
      <c r="P31" s="242">
        <v>3</v>
      </c>
      <c r="Q31" s="39">
        <f aca="true" t="shared" si="6" ref="Q31:Y31">SUM(Q14:Q30)</f>
        <v>817</v>
      </c>
      <c r="R31" s="39">
        <f t="shared" si="6"/>
        <v>770</v>
      </c>
      <c r="S31" s="39">
        <f t="shared" si="6"/>
        <v>706</v>
      </c>
      <c r="T31" s="39">
        <f t="shared" si="6"/>
        <v>10</v>
      </c>
      <c r="U31" s="39">
        <f t="shared" si="6"/>
        <v>54</v>
      </c>
      <c r="V31" s="39">
        <f t="shared" si="6"/>
        <v>47</v>
      </c>
      <c r="W31" s="39">
        <f t="shared" si="6"/>
        <v>0</v>
      </c>
      <c r="X31" s="39">
        <f t="shared" si="6"/>
        <v>0</v>
      </c>
      <c r="Y31" s="39">
        <f t="shared" si="6"/>
        <v>0</v>
      </c>
      <c r="Z31" s="39">
        <v>0</v>
      </c>
      <c r="AA31" s="39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34.94117647058823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39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7" ref="D36:AA36">SUM(D32:D35)</f>
        <v>0</v>
      </c>
      <c r="E36" s="77">
        <f t="shared" si="7"/>
        <v>0</v>
      </c>
      <c r="F36" s="79">
        <f t="shared" si="7"/>
        <v>0</v>
      </c>
      <c r="G36" s="390">
        <f>SUM(G32:G35)</f>
        <v>34.94117647058823</v>
      </c>
      <c r="H36" s="38">
        <f t="shared" si="7"/>
        <v>0</v>
      </c>
      <c r="I36" s="31">
        <f t="shared" si="7"/>
        <v>0</v>
      </c>
      <c r="J36" s="31">
        <f t="shared" si="7"/>
        <v>0</v>
      </c>
      <c r="K36" s="32">
        <f t="shared" si="7"/>
        <v>0</v>
      </c>
      <c r="L36" s="39">
        <f t="shared" si="7"/>
        <v>0</v>
      </c>
      <c r="M36" s="38">
        <f t="shared" si="7"/>
        <v>0</v>
      </c>
      <c r="N36" s="31">
        <f t="shared" si="7"/>
        <v>0</v>
      </c>
      <c r="O36" s="31">
        <f t="shared" si="7"/>
        <v>0</v>
      </c>
      <c r="P36" s="31">
        <f t="shared" si="7"/>
        <v>3</v>
      </c>
      <c r="Q36" s="79">
        <f t="shared" si="7"/>
        <v>0</v>
      </c>
      <c r="R36" s="390">
        <f t="shared" si="7"/>
        <v>35</v>
      </c>
      <c r="S36" s="243">
        <f t="shared" si="7"/>
        <v>0</v>
      </c>
      <c r="T36" s="77">
        <f t="shared" si="7"/>
        <v>0</v>
      </c>
      <c r="U36" s="77">
        <f t="shared" si="7"/>
        <v>0</v>
      </c>
      <c r="V36" s="77">
        <f t="shared" si="7"/>
        <v>0</v>
      </c>
      <c r="W36" s="77">
        <f t="shared" si="7"/>
        <v>0</v>
      </c>
      <c r="X36" s="77">
        <f t="shared" si="7"/>
        <v>0</v>
      </c>
      <c r="Y36" s="77">
        <f t="shared" si="7"/>
        <v>0</v>
      </c>
      <c r="Z36" s="77">
        <f t="shared" si="7"/>
        <v>0</v>
      </c>
      <c r="AA36" s="146">
        <f t="shared" si="7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70" zoomScaleNormal="70" zoomScalePageLayoutView="0" workbookViewId="0" topLeftCell="A1">
      <selection activeCell="AA44" sqref="A1:AA44"/>
    </sheetView>
  </sheetViews>
  <sheetFormatPr defaultColWidth="9.140625" defaultRowHeight="15"/>
  <cols>
    <col min="2" max="2" width="59.710937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52.5" customHeight="1">
      <c r="A5" s="1" t="s">
        <v>5</v>
      </c>
      <c r="B5" s="1"/>
      <c r="C5" s="559" t="s">
        <v>84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154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252">
        <v>164</v>
      </c>
      <c r="D14" s="253">
        <v>0</v>
      </c>
      <c r="E14" s="7">
        <f aca="true" t="shared" si="0" ref="E14:E30">F14+Q14</f>
        <v>78</v>
      </c>
      <c r="F14" s="11">
        <f>G14+K14+N14+M14</f>
        <v>34</v>
      </c>
      <c r="G14" s="147">
        <f>H14+I14+J14</f>
        <v>34</v>
      </c>
      <c r="H14" s="10">
        <f>2*17</f>
        <v>34</v>
      </c>
      <c r="I14" s="7"/>
      <c r="J14" s="8"/>
      <c r="K14" s="10"/>
      <c r="L14" s="7"/>
      <c r="M14" s="7"/>
      <c r="N14" s="7"/>
      <c r="O14" s="7"/>
      <c r="P14" s="8"/>
      <c r="Q14" s="163">
        <f aca="true" t="shared" si="1" ref="Q14:Q24">V14+X14+Y14+R14</f>
        <v>44</v>
      </c>
      <c r="R14" s="9">
        <f aca="true" t="shared" si="2" ref="R14:R24">S14+T14+U14</f>
        <v>44</v>
      </c>
      <c r="S14" s="10">
        <f>2*22</f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254">
        <v>144</v>
      </c>
      <c r="D15" s="150">
        <v>0</v>
      </c>
      <c r="E15" s="13">
        <f t="shared" si="0"/>
        <v>78</v>
      </c>
      <c r="F15" s="17">
        <f>G15+K15+N15+M15</f>
        <v>34</v>
      </c>
      <c r="G15" s="148">
        <f aca="true" t="shared" si="3" ref="G15:G30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t="shared" si="1"/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254">
        <v>66</v>
      </c>
      <c r="D16" s="150">
        <v>0</v>
      </c>
      <c r="E16" s="13">
        <f t="shared" si="0"/>
        <v>66</v>
      </c>
      <c r="F16" s="17">
        <f aca="true" t="shared" si="4" ref="F16:F30">G16+K16+N16+M16</f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1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s="239" customFormat="1" ht="20.25">
      <c r="A17" s="234" t="s">
        <v>31</v>
      </c>
      <c r="B17" s="154" t="s">
        <v>105</v>
      </c>
      <c r="C17" s="255">
        <v>144</v>
      </c>
      <c r="D17" s="150">
        <v>0</v>
      </c>
      <c r="E17" s="120">
        <f t="shared" si="0"/>
        <v>78</v>
      </c>
      <c r="F17" s="121">
        <f t="shared" si="4"/>
        <v>34</v>
      </c>
      <c r="G17" s="251">
        <f t="shared" si="3"/>
        <v>34</v>
      </c>
      <c r="H17" s="119">
        <v>34</v>
      </c>
      <c r="I17" s="120"/>
      <c r="J17" s="21"/>
      <c r="K17" s="119"/>
      <c r="L17" s="120"/>
      <c r="M17" s="120"/>
      <c r="N17" s="120"/>
      <c r="O17" s="120"/>
      <c r="P17" s="21"/>
      <c r="Q17" s="238">
        <f t="shared" si="1"/>
        <v>44</v>
      </c>
      <c r="R17" s="237">
        <f t="shared" si="2"/>
        <v>44</v>
      </c>
      <c r="S17" s="119">
        <v>44</v>
      </c>
      <c r="T17" s="120"/>
      <c r="U17" s="21"/>
      <c r="V17" s="119"/>
      <c r="W17" s="120"/>
      <c r="X17" s="120"/>
      <c r="Y17" s="120"/>
      <c r="Z17" s="120"/>
      <c r="AA17" s="121"/>
    </row>
    <row r="18" spans="1:27" s="239" customFormat="1" ht="20.25">
      <c r="A18" s="234" t="s">
        <v>32</v>
      </c>
      <c r="B18" s="154" t="s">
        <v>106</v>
      </c>
      <c r="C18" s="255">
        <v>130</v>
      </c>
      <c r="D18" s="150">
        <v>0</v>
      </c>
      <c r="E18" s="120">
        <f t="shared" si="0"/>
        <v>44</v>
      </c>
      <c r="F18" s="121">
        <f t="shared" si="4"/>
        <v>0</v>
      </c>
      <c r="G18" s="251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238">
        <f t="shared" si="1"/>
        <v>44</v>
      </c>
      <c r="R18" s="237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ht="20.25">
      <c r="A19" s="138" t="s">
        <v>33</v>
      </c>
      <c r="B19" s="154" t="s">
        <v>107</v>
      </c>
      <c r="C19" s="254">
        <v>78</v>
      </c>
      <c r="D19" s="150">
        <v>0</v>
      </c>
      <c r="E19" s="13">
        <f t="shared" si="0"/>
        <v>78</v>
      </c>
      <c r="F19" s="17">
        <f t="shared" si="4"/>
        <v>34</v>
      </c>
      <c r="G19" s="148">
        <f t="shared" si="3"/>
        <v>34</v>
      </c>
      <c r="H19" s="16">
        <v>34</v>
      </c>
      <c r="I19" s="13"/>
      <c r="J19" s="14"/>
      <c r="K19" s="16"/>
      <c r="L19" s="13"/>
      <c r="M19" s="13"/>
      <c r="N19" s="13"/>
      <c r="O19" s="13"/>
      <c r="P19" s="14"/>
      <c r="Q19" s="164">
        <f t="shared" si="1"/>
        <v>44</v>
      </c>
      <c r="R19" s="15">
        <f t="shared" si="2"/>
        <v>44</v>
      </c>
      <c r="S19" s="16">
        <v>44</v>
      </c>
      <c r="T19" s="13"/>
      <c r="U19" s="14"/>
      <c r="V19" s="16"/>
      <c r="W19" s="13"/>
      <c r="X19" s="13"/>
      <c r="Y19" s="13"/>
      <c r="Z19" s="13"/>
      <c r="AA19" s="17"/>
    </row>
    <row r="20" spans="1:27" ht="20.25">
      <c r="A20" s="138" t="s">
        <v>34</v>
      </c>
      <c r="B20" s="154" t="s">
        <v>110</v>
      </c>
      <c r="C20" s="254">
        <v>232</v>
      </c>
      <c r="D20" s="150">
        <v>0</v>
      </c>
      <c r="E20" s="13">
        <f t="shared" si="0"/>
        <v>112</v>
      </c>
      <c r="F20" s="17">
        <f t="shared" si="4"/>
        <v>68</v>
      </c>
      <c r="G20" s="148">
        <f t="shared" si="3"/>
        <v>68</v>
      </c>
      <c r="H20" s="16">
        <f>4*17</f>
        <v>68</v>
      </c>
      <c r="I20" s="13"/>
      <c r="J20" s="14"/>
      <c r="K20" s="16"/>
      <c r="L20" s="13"/>
      <c r="M20" s="13"/>
      <c r="N20" s="13"/>
      <c r="O20" s="13"/>
      <c r="P20" s="14"/>
      <c r="Q20" s="164">
        <f t="shared" si="1"/>
        <v>44</v>
      </c>
      <c r="R20" s="15">
        <f t="shared" si="2"/>
        <v>44</v>
      </c>
      <c r="S20" s="16">
        <f>2*22</f>
        <v>44</v>
      </c>
      <c r="T20" s="13"/>
      <c r="U20" s="14"/>
      <c r="V20" s="16"/>
      <c r="W20" s="13"/>
      <c r="X20" s="13"/>
      <c r="Y20" s="13"/>
      <c r="Z20" s="13"/>
      <c r="AA20" s="17"/>
    </row>
    <row r="21" spans="1:27" ht="20.25">
      <c r="A21" s="138" t="s">
        <v>35</v>
      </c>
      <c r="B21" s="154" t="s">
        <v>111</v>
      </c>
      <c r="C21" s="254">
        <v>216</v>
      </c>
      <c r="D21" s="150">
        <v>0</v>
      </c>
      <c r="E21" s="13">
        <f t="shared" si="0"/>
        <v>116</v>
      </c>
      <c r="F21" s="17">
        <f t="shared" si="4"/>
        <v>50</v>
      </c>
      <c r="G21" s="148">
        <f t="shared" si="3"/>
        <v>50</v>
      </c>
      <c r="H21" s="16">
        <f>116-66</f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1"/>
        <v>66</v>
      </c>
      <c r="R21" s="15">
        <f t="shared" si="2"/>
        <v>66</v>
      </c>
      <c r="S21" s="16"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5" t="s">
        <v>112</v>
      </c>
      <c r="C22" s="254">
        <v>100</v>
      </c>
      <c r="D22" s="150">
        <v>0</v>
      </c>
      <c r="E22" s="13">
        <f t="shared" si="0"/>
        <v>100</v>
      </c>
      <c r="F22" s="17">
        <f t="shared" si="4"/>
        <v>34</v>
      </c>
      <c r="G22" s="148">
        <f t="shared" si="3"/>
        <v>34</v>
      </c>
      <c r="H22" s="160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1"/>
        <v>66</v>
      </c>
      <c r="R22" s="15">
        <f t="shared" si="2"/>
        <v>66</v>
      </c>
      <c r="S22" s="167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6" t="s">
        <v>113</v>
      </c>
      <c r="C23" s="254">
        <v>112</v>
      </c>
      <c r="D23" s="150">
        <v>0</v>
      </c>
      <c r="E23" s="13">
        <f t="shared" si="0"/>
        <v>112</v>
      </c>
      <c r="F23" s="17">
        <f t="shared" si="4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1"/>
        <v>44</v>
      </c>
      <c r="R23" s="15">
        <f t="shared" si="2"/>
        <v>44</v>
      </c>
      <c r="S23" s="16">
        <v>24</v>
      </c>
      <c r="T23" s="166">
        <v>10</v>
      </c>
      <c r="U23" s="19">
        <v>10</v>
      </c>
      <c r="V23" s="20"/>
      <c r="W23" s="13"/>
      <c r="X23" s="13"/>
      <c r="Y23" s="13"/>
      <c r="Z23" s="13"/>
      <c r="AA23" s="121"/>
    </row>
    <row r="24" spans="1:27" ht="20.25">
      <c r="A24" s="138" t="s">
        <v>38</v>
      </c>
      <c r="B24" s="156" t="s">
        <v>114</v>
      </c>
      <c r="C24" s="254">
        <v>78</v>
      </c>
      <c r="D24" s="150">
        <v>0</v>
      </c>
      <c r="E24" s="13">
        <f t="shared" si="0"/>
        <v>78</v>
      </c>
      <c r="F24" s="17">
        <f t="shared" si="4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1"/>
        <v>44</v>
      </c>
      <c r="R24" s="15">
        <f t="shared" si="2"/>
        <v>44</v>
      </c>
      <c r="S24" s="16">
        <v>44</v>
      </c>
      <c r="T24" s="166"/>
      <c r="U24" s="19"/>
      <c r="V24" s="20"/>
      <c r="W24" s="13"/>
      <c r="X24" s="13"/>
      <c r="Y24" s="13"/>
      <c r="Z24" s="13"/>
      <c r="AA24" s="121"/>
    </row>
    <row r="25" spans="1:27" ht="20.25">
      <c r="A25" s="234" t="s">
        <v>39</v>
      </c>
      <c r="B25" s="156" t="s">
        <v>115</v>
      </c>
      <c r="C25" s="254">
        <v>220</v>
      </c>
      <c r="D25" s="150">
        <v>0</v>
      </c>
      <c r="E25" s="13">
        <f t="shared" si="0"/>
        <v>122</v>
      </c>
      <c r="F25" s="17">
        <f t="shared" si="4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aca="true" t="shared" si="5" ref="Q25:Q30">V25+X25+Y25+R25</f>
        <v>88</v>
      </c>
      <c r="R25" s="15">
        <f aca="true" t="shared" si="6" ref="R25:R30">S25+T25+U25</f>
        <v>88</v>
      </c>
      <c r="S25" s="16">
        <f>4*22</f>
        <v>88</v>
      </c>
      <c r="T25" s="166"/>
      <c r="U25" s="19"/>
      <c r="V25" s="20"/>
      <c r="W25" s="13"/>
      <c r="X25" s="13"/>
      <c r="Y25" s="13"/>
      <c r="Z25" s="13"/>
      <c r="AA25" s="121"/>
    </row>
    <row r="26" spans="1:27" ht="21" thickBot="1">
      <c r="A26" s="186" t="s">
        <v>40</v>
      </c>
      <c r="B26" s="157" t="s">
        <v>116</v>
      </c>
      <c r="C26" s="256">
        <v>220</v>
      </c>
      <c r="D26" s="257">
        <v>0</v>
      </c>
      <c r="E26" s="95">
        <f t="shared" si="0"/>
        <v>78</v>
      </c>
      <c r="F26" s="99">
        <f t="shared" si="4"/>
        <v>34</v>
      </c>
      <c r="G26" s="149">
        <f t="shared" si="3"/>
        <v>34</v>
      </c>
      <c r="H26" s="98">
        <v>34</v>
      </c>
      <c r="I26" s="95"/>
      <c r="J26" s="96"/>
      <c r="K26" s="98"/>
      <c r="L26" s="95"/>
      <c r="M26" s="95"/>
      <c r="N26" s="95"/>
      <c r="O26" s="95"/>
      <c r="P26" s="96"/>
      <c r="Q26" s="165">
        <f t="shared" si="5"/>
        <v>44</v>
      </c>
      <c r="R26" s="97">
        <f t="shared" si="6"/>
        <v>44</v>
      </c>
      <c r="S26" s="98">
        <v>44</v>
      </c>
      <c r="T26" s="250"/>
      <c r="U26" s="161"/>
      <c r="V26" s="162"/>
      <c r="W26" s="95"/>
      <c r="X26" s="95"/>
      <c r="Y26" s="95"/>
      <c r="Z26" s="95"/>
      <c r="AA26" s="107"/>
    </row>
    <row r="27" spans="1:27" ht="20.25">
      <c r="A27" s="101" t="s">
        <v>41</v>
      </c>
      <c r="B27" s="214" t="s">
        <v>108</v>
      </c>
      <c r="C27" s="244">
        <v>90</v>
      </c>
      <c r="D27" s="109">
        <f>E27/30</f>
        <v>3</v>
      </c>
      <c r="E27" s="110">
        <f t="shared" si="0"/>
        <v>90</v>
      </c>
      <c r="F27" s="111">
        <f t="shared" si="4"/>
        <v>90</v>
      </c>
      <c r="G27" s="112">
        <f t="shared" si="3"/>
        <v>34</v>
      </c>
      <c r="H27" s="113">
        <v>18</v>
      </c>
      <c r="I27" s="110"/>
      <c r="J27" s="111">
        <v>16</v>
      </c>
      <c r="K27" s="113">
        <v>56</v>
      </c>
      <c r="L27" s="110"/>
      <c r="M27" s="110"/>
      <c r="N27" s="110"/>
      <c r="O27" s="110"/>
      <c r="P27" s="111" t="s">
        <v>91</v>
      </c>
      <c r="Q27" s="245">
        <f t="shared" si="5"/>
        <v>0</v>
      </c>
      <c r="R27" s="112">
        <f t="shared" si="6"/>
        <v>0</v>
      </c>
      <c r="S27" s="113"/>
      <c r="T27" s="246"/>
      <c r="U27" s="247"/>
      <c r="V27" s="248"/>
      <c r="W27" s="110"/>
      <c r="X27" s="110"/>
      <c r="Y27" s="110"/>
      <c r="Z27" s="110"/>
      <c r="AA27" s="249"/>
    </row>
    <row r="28" spans="1:27" ht="20.25">
      <c r="A28" s="138" t="s">
        <v>55</v>
      </c>
      <c r="B28" s="214" t="s">
        <v>109</v>
      </c>
      <c r="C28" s="159">
        <v>90</v>
      </c>
      <c r="D28" s="12">
        <f>E28/30</f>
        <v>3</v>
      </c>
      <c r="E28" s="13">
        <f t="shared" si="0"/>
        <v>90</v>
      </c>
      <c r="F28" s="14">
        <f t="shared" si="4"/>
        <v>90</v>
      </c>
      <c r="G28" s="15">
        <f t="shared" si="3"/>
        <v>34</v>
      </c>
      <c r="H28" s="16">
        <v>18</v>
      </c>
      <c r="I28" s="18"/>
      <c r="J28" s="19">
        <v>16</v>
      </c>
      <c r="K28" s="20">
        <v>56</v>
      </c>
      <c r="L28" s="18"/>
      <c r="M28" s="18"/>
      <c r="N28" s="18"/>
      <c r="O28" s="13"/>
      <c r="P28" s="14" t="s">
        <v>91</v>
      </c>
      <c r="Q28" s="164">
        <f t="shared" si="5"/>
        <v>0</v>
      </c>
      <c r="R28" s="112">
        <f t="shared" si="6"/>
        <v>0</v>
      </c>
      <c r="S28" s="16"/>
      <c r="T28" s="18"/>
      <c r="U28" s="19"/>
      <c r="V28" s="20"/>
      <c r="W28" s="18"/>
      <c r="X28" s="18"/>
      <c r="Y28" s="18"/>
      <c r="Z28" s="13"/>
      <c r="AA28" s="17"/>
    </row>
    <row r="29" spans="1:27" ht="20.25">
      <c r="A29" s="213" t="s">
        <v>56</v>
      </c>
      <c r="B29" s="214" t="s">
        <v>117</v>
      </c>
      <c r="C29" s="159">
        <v>150</v>
      </c>
      <c r="D29" s="12">
        <f>E29/30</f>
        <v>5</v>
      </c>
      <c r="E29" s="13">
        <f t="shared" si="0"/>
        <v>150</v>
      </c>
      <c r="F29" s="14">
        <f t="shared" si="4"/>
        <v>60</v>
      </c>
      <c r="G29" s="118">
        <f t="shared" si="3"/>
        <v>34</v>
      </c>
      <c r="H29" s="176">
        <v>18</v>
      </c>
      <c r="I29" s="177"/>
      <c r="J29" s="178">
        <v>16</v>
      </c>
      <c r="K29" s="182">
        <v>26</v>
      </c>
      <c r="L29" s="177"/>
      <c r="M29" s="177"/>
      <c r="N29" s="177"/>
      <c r="O29" s="172"/>
      <c r="P29" s="173" t="s">
        <v>91</v>
      </c>
      <c r="Q29" s="164">
        <f t="shared" si="5"/>
        <v>90</v>
      </c>
      <c r="R29" s="112">
        <f t="shared" si="6"/>
        <v>44</v>
      </c>
      <c r="S29" s="16">
        <v>22</v>
      </c>
      <c r="T29" s="177"/>
      <c r="U29" s="178">
        <v>22</v>
      </c>
      <c r="V29" s="182">
        <f>72-26</f>
        <v>46</v>
      </c>
      <c r="W29" s="177"/>
      <c r="X29" s="177"/>
      <c r="Y29" s="177"/>
      <c r="Z29" s="172"/>
      <c r="AA29" s="184" t="s">
        <v>67</v>
      </c>
    </row>
    <row r="30" spans="1:27" ht="21" thickBot="1">
      <c r="A30" s="213" t="s">
        <v>57</v>
      </c>
      <c r="B30" s="214" t="s">
        <v>118</v>
      </c>
      <c r="C30" s="170">
        <v>90</v>
      </c>
      <c r="D30" s="12">
        <f>E30/30</f>
        <v>3</v>
      </c>
      <c r="E30" s="13">
        <f t="shared" si="0"/>
        <v>90</v>
      </c>
      <c r="F30" s="14">
        <f t="shared" si="4"/>
        <v>0</v>
      </c>
      <c r="G30" s="118">
        <f t="shared" si="3"/>
        <v>0</v>
      </c>
      <c r="H30" s="176"/>
      <c r="I30" s="177"/>
      <c r="J30" s="178"/>
      <c r="K30" s="182"/>
      <c r="L30" s="177"/>
      <c r="M30" s="177"/>
      <c r="N30" s="177"/>
      <c r="O30" s="172"/>
      <c r="P30" s="173"/>
      <c r="Q30" s="164">
        <f t="shared" si="5"/>
        <v>90</v>
      </c>
      <c r="R30" s="112">
        <f t="shared" si="6"/>
        <v>44</v>
      </c>
      <c r="S30" s="176">
        <v>22</v>
      </c>
      <c r="T30" s="177"/>
      <c r="U30" s="178">
        <v>22</v>
      </c>
      <c r="V30" s="182">
        <v>46</v>
      </c>
      <c r="W30" s="177"/>
      <c r="X30" s="177"/>
      <c r="Y30" s="177"/>
      <c r="Z30" s="172"/>
      <c r="AA30" s="184" t="s">
        <v>67</v>
      </c>
    </row>
    <row r="31" spans="1:27" ht="21" thickBot="1">
      <c r="A31" s="240"/>
      <c r="B31" s="241" t="s">
        <v>42</v>
      </c>
      <c r="C31" s="242">
        <f aca="true" t="shared" si="7" ref="C31:K31">SUM(C14:C30)</f>
        <v>2324</v>
      </c>
      <c r="D31" s="77">
        <f t="shared" si="7"/>
        <v>14</v>
      </c>
      <c r="E31" s="77">
        <f t="shared" si="7"/>
        <v>1560</v>
      </c>
      <c r="F31" s="79">
        <f t="shared" si="7"/>
        <v>698</v>
      </c>
      <c r="G31" s="39">
        <f t="shared" si="7"/>
        <v>560</v>
      </c>
      <c r="H31" s="243">
        <f t="shared" si="7"/>
        <v>486</v>
      </c>
      <c r="I31" s="77">
        <f t="shared" si="7"/>
        <v>10</v>
      </c>
      <c r="J31" s="77">
        <f t="shared" si="7"/>
        <v>64</v>
      </c>
      <c r="K31" s="77">
        <f t="shared" si="7"/>
        <v>138</v>
      </c>
      <c r="L31" s="39">
        <f>COUNT(L14:L30)</f>
        <v>0</v>
      </c>
      <c r="M31" s="77">
        <f>SUM(M14:M30)</f>
        <v>0</v>
      </c>
      <c r="N31" s="77">
        <f>SUM(N14:N30)</f>
        <v>0</v>
      </c>
      <c r="O31" s="39"/>
      <c r="P31" s="39">
        <v>3</v>
      </c>
      <c r="Q31" s="39">
        <f aca="true" t="shared" si="8" ref="Q31:Y31">SUM(Q14:Q30)</f>
        <v>862</v>
      </c>
      <c r="R31" s="2">
        <f>SUM(R14:R30)</f>
        <v>770</v>
      </c>
      <c r="S31" s="243">
        <f t="shared" si="8"/>
        <v>706</v>
      </c>
      <c r="T31" s="77">
        <f t="shared" si="8"/>
        <v>10</v>
      </c>
      <c r="U31" s="77">
        <f t="shared" si="8"/>
        <v>54</v>
      </c>
      <c r="V31" s="77">
        <f t="shared" si="8"/>
        <v>92</v>
      </c>
      <c r="W31" s="77">
        <f t="shared" si="8"/>
        <v>0</v>
      </c>
      <c r="X31" s="77">
        <f t="shared" si="8"/>
        <v>0</v>
      </c>
      <c r="Y31" s="77">
        <f t="shared" si="8"/>
        <v>0</v>
      </c>
      <c r="Z31" s="77">
        <v>0</v>
      </c>
      <c r="AA31" s="146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32.94117647058823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f>O31</f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76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9" ref="D36:AA36">SUM(D32:D35)</f>
        <v>0</v>
      </c>
      <c r="E36" s="77">
        <f t="shared" si="9"/>
        <v>0</v>
      </c>
      <c r="F36" s="77">
        <f t="shared" si="9"/>
        <v>0</v>
      </c>
      <c r="G36" s="78">
        <f>SUM(G32:G35)</f>
        <v>32.94117647058823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2">
        <f t="shared" si="9"/>
        <v>0</v>
      </c>
      <c r="L36" s="39">
        <f t="shared" si="9"/>
        <v>0</v>
      </c>
      <c r="M36" s="38">
        <f t="shared" si="9"/>
        <v>0</v>
      </c>
      <c r="N36" s="31">
        <f t="shared" si="9"/>
        <v>0</v>
      </c>
      <c r="O36" s="31">
        <f t="shared" si="9"/>
        <v>0</v>
      </c>
      <c r="P36" s="31">
        <f t="shared" si="9"/>
        <v>3</v>
      </c>
      <c r="Q36" s="77">
        <f t="shared" si="9"/>
        <v>0</v>
      </c>
      <c r="R36" s="78">
        <f t="shared" si="9"/>
        <v>35</v>
      </c>
      <c r="S36" s="77">
        <f t="shared" si="9"/>
        <v>0</v>
      </c>
      <c r="T36" s="77">
        <f t="shared" si="9"/>
        <v>0</v>
      </c>
      <c r="U36" s="77">
        <f t="shared" si="9"/>
        <v>0</v>
      </c>
      <c r="V36" s="77">
        <f t="shared" si="9"/>
        <v>0</v>
      </c>
      <c r="W36" s="77">
        <f t="shared" si="9"/>
        <v>0</v>
      </c>
      <c r="X36" s="77">
        <f t="shared" si="9"/>
        <v>0</v>
      </c>
      <c r="Y36" s="77">
        <f t="shared" si="9"/>
        <v>0</v>
      </c>
      <c r="Z36" s="77">
        <f t="shared" si="9"/>
        <v>0</v>
      </c>
      <c r="AA36" s="146">
        <f t="shared" si="9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65" zoomScaleNormal="65" zoomScalePageLayoutView="0" workbookViewId="0" topLeftCell="A1">
      <selection activeCell="Q28" sqref="Q28"/>
    </sheetView>
  </sheetViews>
  <sheetFormatPr defaultColWidth="9.140625" defaultRowHeight="15"/>
  <cols>
    <col min="2" max="2" width="6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161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191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56.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0">F14+Q14</f>
        <v>78</v>
      </c>
      <c r="F14" s="11">
        <f aca="true" t="shared" si="1" ref="F14:F30">G14+K14+N14+M14</f>
        <v>34</v>
      </c>
      <c r="G14" s="147">
        <f>H14+I14+J14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0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148">
        <f aca="true" t="shared" si="3" ref="G15:G30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4" ref="Q15:Q30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4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148">
        <f t="shared" si="3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4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148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4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148">
        <f t="shared" si="3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4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232</v>
      </c>
      <c r="D20" s="12">
        <v>0</v>
      </c>
      <c r="E20" s="120">
        <f t="shared" si="0"/>
        <v>112</v>
      </c>
      <c r="F20" s="17">
        <f t="shared" si="1"/>
        <v>68</v>
      </c>
      <c r="G20" s="148">
        <f t="shared" si="3"/>
        <v>68</v>
      </c>
      <c r="H20" s="119">
        <f>17*4</f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4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t="shared" si="1"/>
        <v>50</v>
      </c>
      <c r="G21" s="148">
        <f t="shared" si="3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4"/>
        <v>66</v>
      </c>
      <c r="R21" s="15">
        <f t="shared" si="2"/>
        <v>66</v>
      </c>
      <c r="S21" s="16"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1"/>
        <v>34</v>
      </c>
      <c r="G22" s="148">
        <f t="shared" si="3"/>
        <v>34</v>
      </c>
      <c r="H22" s="16"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4"/>
        <v>66</v>
      </c>
      <c r="R22" s="15">
        <f>S22+T22+U22</f>
        <v>66</v>
      </c>
      <c r="S22" s="16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1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4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1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4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1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4"/>
        <v>88</v>
      </c>
      <c r="R25" s="15">
        <f>S25+T25+U25</f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112</v>
      </c>
      <c r="D26" s="291">
        <v>0</v>
      </c>
      <c r="E26" s="95">
        <f t="shared" si="0"/>
        <v>112</v>
      </c>
      <c r="F26" s="99">
        <f t="shared" si="1"/>
        <v>68</v>
      </c>
      <c r="G26" s="149">
        <f t="shared" si="3"/>
        <v>68</v>
      </c>
      <c r="H26" s="98">
        <f>68</f>
        <v>68</v>
      </c>
      <c r="I26" s="95"/>
      <c r="J26" s="96"/>
      <c r="K26" s="98"/>
      <c r="L26" s="95"/>
      <c r="M26" s="95"/>
      <c r="N26" s="95"/>
      <c r="O26" s="95"/>
      <c r="P26" s="96"/>
      <c r="Q26" s="165">
        <f t="shared" si="4"/>
        <v>44</v>
      </c>
      <c r="R26" s="97">
        <f>S26+T26+U26</f>
        <v>44</v>
      </c>
      <c r="S26" s="98"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158">
        <v>60</v>
      </c>
      <c r="D27" s="6">
        <f>E27/30</f>
        <v>2</v>
      </c>
      <c r="E27" s="7">
        <f t="shared" si="0"/>
        <v>60</v>
      </c>
      <c r="F27" s="11">
        <f t="shared" si="1"/>
        <v>60</v>
      </c>
      <c r="G27" s="259">
        <f t="shared" si="3"/>
        <v>34</v>
      </c>
      <c r="H27" s="10">
        <v>18</v>
      </c>
      <c r="I27" s="7"/>
      <c r="J27" s="8">
        <v>16</v>
      </c>
      <c r="K27" s="10">
        <v>26</v>
      </c>
      <c r="L27" s="7"/>
      <c r="M27" s="7"/>
      <c r="N27" s="7"/>
      <c r="O27" s="7"/>
      <c r="P27" s="8" t="s">
        <v>88</v>
      </c>
      <c r="Q27" s="163">
        <f t="shared" si="4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151</v>
      </c>
      <c r="C28" s="159">
        <v>60</v>
      </c>
      <c r="D28" s="12">
        <f>E28/30</f>
        <v>2</v>
      </c>
      <c r="E28" s="13">
        <f t="shared" si="0"/>
        <v>60</v>
      </c>
      <c r="F28" s="17">
        <f t="shared" si="1"/>
        <v>60</v>
      </c>
      <c r="G28" s="301">
        <f t="shared" si="3"/>
        <v>34</v>
      </c>
      <c r="H28" s="16">
        <v>18</v>
      </c>
      <c r="I28" s="13"/>
      <c r="J28" s="14">
        <v>16</v>
      </c>
      <c r="K28" s="16">
        <v>26</v>
      </c>
      <c r="L28" s="13"/>
      <c r="M28" s="13"/>
      <c r="N28" s="13"/>
      <c r="O28" s="13"/>
      <c r="P28" s="14" t="s">
        <v>91</v>
      </c>
      <c r="Q28" s="164">
        <f t="shared" si="4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234" t="s">
        <v>56</v>
      </c>
      <c r="B29" s="156" t="s">
        <v>117</v>
      </c>
      <c r="C29" s="159">
        <v>120</v>
      </c>
      <c r="D29" s="12">
        <f>E29/30</f>
        <v>4</v>
      </c>
      <c r="E29" s="13">
        <f t="shared" si="0"/>
        <v>120</v>
      </c>
      <c r="F29" s="17">
        <f t="shared" si="1"/>
        <v>45</v>
      </c>
      <c r="G29" s="301">
        <f t="shared" si="3"/>
        <v>34</v>
      </c>
      <c r="H29" s="16">
        <v>18</v>
      </c>
      <c r="I29" s="13"/>
      <c r="J29" s="14">
        <v>16</v>
      </c>
      <c r="K29" s="16">
        <v>11</v>
      </c>
      <c r="L29" s="13"/>
      <c r="M29" s="13"/>
      <c r="N29" s="13"/>
      <c r="O29" s="13"/>
      <c r="P29" s="14" t="s">
        <v>91</v>
      </c>
      <c r="Q29" s="164">
        <f t="shared" si="4"/>
        <v>75</v>
      </c>
      <c r="R29" s="15">
        <f t="shared" si="2"/>
        <v>44</v>
      </c>
      <c r="S29" s="16">
        <v>22</v>
      </c>
      <c r="T29" s="166"/>
      <c r="U29" s="298">
        <v>22</v>
      </c>
      <c r="V29" s="20">
        <v>31</v>
      </c>
      <c r="W29" s="13"/>
      <c r="X29" s="13"/>
      <c r="Y29" s="13"/>
      <c r="Z29" s="13"/>
      <c r="AA29" s="121" t="s">
        <v>67</v>
      </c>
    </row>
    <row r="30" spans="1:27" ht="21" thickBot="1">
      <c r="A30" s="186" t="s">
        <v>57</v>
      </c>
      <c r="B30" s="157" t="s">
        <v>152</v>
      </c>
      <c r="C30" s="292">
        <v>75</v>
      </c>
      <c r="D30" s="291">
        <f>E30/30</f>
        <v>2.5</v>
      </c>
      <c r="E30" s="95">
        <f t="shared" si="0"/>
        <v>75</v>
      </c>
      <c r="F30" s="99">
        <f t="shared" si="1"/>
        <v>0</v>
      </c>
      <c r="G30" s="302">
        <f t="shared" si="3"/>
        <v>0</v>
      </c>
      <c r="H30" s="98"/>
      <c r="I30" s="95"/>
      <c r="J30" s="96"/>
      <c r="K30" s="98"/>
      <c r="L30" s="95"/>
      <c r="M30" s="95"/>
      <c r="N30" s="95"/>
      <c r="O30" s="95"/>
      <c r="P30" s="96"/>
      <c r="Q30" s="165">
        <f t="shared" si="4"/>
        <v>75</v>
      </c>
      <c r="R30" s="97">
        <f t="shared" si="2"/>
        <v>44</v>
      </c>
      <c r="S30" s="98">
        <v>22</v>
      </c>
      <c r="T30" s="250"/>
      <c r="U30" s="300">
        <v>22</v>
      </c>
      <c r="V30" s="162">
        <v>31</v>
      </c>
      <c r="W30" s="95"/>
      <c r="X30" s="95"/>
      <c r="Y30" s="95"/>
      <c r="Z30" s="95"/>
      <c r="AA30" s="107" t="s">
        <v>67</v>
      </c>
    </row>
    <row r="31" spans="1:27" ht="21" thickBot="1">
      <c r="A31" s="240"/>
      <c r="B31" s="241" t="s">
        <v>42</v>
      </c>
      <c r="C31" s="242">
        <f aca="true" t="shared" si="5" ref="C31:N31">SUM(C14:C30)</f>
        <v>2111</v>
      </c>
      <c r="D31" s="242">
        <f t="shared" si="5"/>
        <v>10.5</v>
      </c>
      <c r="E31" s="242">
        <f t="shared" si="5"/>
        <v>1489</v>
      </c>
      <c r="F31" s="242">
        <f t="shared" si="5"/>
        <v>657</v>
      </c>
      <c r="G31" s="242">
        <f t="shared" si="5"/>
        <v>594</v>
      </c>
      <c r="H31" s="242">
        <f t="shared" si="5"/>
        <v>520</v>
      </c>
      <c r="I31" s="242">
        <f t="shared" si="5"/>
        <v>10</v>
      </c>
      <c r="J31" s="242">
        <f t="shared" si="5"/>
        <v>64</v>
      </c>
      <c r="K31" s="242">
        <f t="shared" si="5"/>
        <v>63</v>
      </c>
      <c r="L31" s="242">
        <f t="shared" si="5"/>
        <v>0</v>
      </c>
      <c r="M31" s="242">
        <f t="shared" si="5"/>
        <v>0</v>
      </c>
      <c r="N31" s="242">
        <f t="shared" si="5"/>
        <v>0</v>
      </c>
      <c r="O31" s="242">
        <v>0</v>
      </c>
      <c r="P31" s="242">
        <v>3</v>
      </c>
      <c r="Q31" s="39">
        <f aca="true" t="shared" si="6" ref="Q31:Y31">SUM(Q14:Q30)</f>
        <v>832</v>
      </c>
      <c r="R31" s="39">
        <f t="shared" si="6"/>
        <v>770</v>
      </c>
      <c r="S31" s="39">
        <f t="shared" si="6"/>
        <v>706</v>
      </c>
      <c r="T31" s="39">
        <f t="shared" si="6"/>
        <v>10</v>
      </c>
      <c r="U31" s="39">
        <f t="shared" si="6"/>
        <v>54</v>
      </c>
      <c r="V31" s="39">
        <f t="shared" si="6"/>
        <v>62</v>
      </c>
      <c r="W31" s="39">
        <f t="shared" si="6"/>
        <v>0</v>
      </c>
      <c r="X31" s="39">
        <f t="shared" si="6"/>
        <v>0</v>
      </c>
      <c r="Y31" s="39">
        <f t="shared" si="6"/>
        <v>0</v>
      </c>
      <c r="Z31" s="39">
        <v>0</v>
      </c>
      <c r="AA31" s="39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34.94117647058823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3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39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7" ref="D36:AA36">SUM(D32:D35)</f>
        <v>0</v>
      </c>
      <c r="E36" s="77">
        <f t="shared" si="7"/>
        <v>0</v>
      </c>
      <c r="F36" s="79">
        <f t="shared" si="7"/>
        <v>0</v>
      </c>
      <c r="G36" s="390">
        <f>SUM(G32:G35)</f>
        <v>34.94117647058823</v>
      </c>
      <c r="H36" s="38">
        <f t="shared" si="7"/>
        <v>0</v>
      </c>
      <c r="I36" s="31">
        <f t="shared" si="7"/>
        <v>0</v>
      </c>
      <c r="J36" s="31">
        <f t="shared" si="7"/>
        <v>0</v>
      </c>
      <c r="K36" s="32">
        <f t="shared" si="7"/>
        <v>0</v>
      </c>
      <c r="L36" s="39">
        <f t="shared" si="7"/>
        <v>0</v>
      </c>
      <c r="M36" s="38">
        <f t="shared" si="7"/>
        <v>0</v>
      </c>
      <c r="N36" s="31">
        <f t="shared" si="7"/>
        <v>0</v>
      </c>
      <c r="O36" s="31">
        <f t="shared" si="7"/>
        <v>0</v>
      </c>
      <c r="P36" s="31">
        <f t="shared" si="7"/>
        <v>3</v>
      </c>
      <c r="Q36" s="79">
        <f t="shared" si="7"/>
        <v>0</v>
      </c>
      <c r="R36" s="390">
        <f t="shared" si="7"/>
        <v>35</v>
      </c>
      <c r="S36" s="243">
        <f t="shared" si="7"/>
        <v>0</v>
      </c>
      <c r="T36" s="77">
        <f t="shared" si="7"/>
        <v>0</v>
      </c>
      <c r="U36" s="77">
        <f t="shared" si="7"/>
        <v>0</v>
      </c>
      <c r="V36" s="77">
        <f t="shared" si="7"/>
        <v>0</v>
      </c>
      <c r="W36" s="77">
        <f t="shared" si="7"/>
        <v>0</v>
      </c>
      <c r="X36" s="77">
        <f t="shared" si="7"/>
        <v>0</v>
      </c>
      <c r="Y36" s="77">
        <f t="shared" si="7"/>
        <v>0</v>
      </c>
      <c r="Z36" s="77">
        <f t="shared" si="7"/>
        <v>0</v>
      </c>
      <c r="AA36" s="146">
        <f t="shared" si="7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C1:AA1"/>
    <mergeCell ref="C2:AA2"/>
    <mergeCell ref="C3:AA3"/>
    <mergeCell ref="C4:AA4"/>
    <mergeCell ref="C5:AA5"/>
    <mergeCell ref="C6:AA6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Z11:AA11"/>
    <mergeCell ref="Z12:Z13"/>
    <mergeCell ref="AA12:AA13"/>
    <mergeCell ref="M11:M13"/>
    <mergeCell ref="N11:N13"/>
    <mergeCell ref="O11:P11"/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4"/>
  <sheetViews>
    <sheetView zoomScale="70" zoomScaleNormal="70" zoomScalePageLayoutView="0" workbookViewId="0" topLeftCell="A1">
      <selection activeCell="AA44" sqref="A1:AA44"/>
    </sheetView>
  </sheetViews>
  <sheetFormatPr defaultColWidth="9.140625" defaultRowHeight="15"/>
  <cols>
    <col min="2" max="2" width="61.0039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26.25">
      <c r="A5" s="1" t="s">
        <v>5</v>
      </c>
      <c r="B5" s="1"/>
      <c r="C5" s="559" t="s">
        <v>276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338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291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101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17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22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0.25">
      <c r="A14" s="100" t="s">
        <v>28</v>
      </c>
      <c r="B14" s="153" t="s">
        <v>102</v>
      </c>
      <c r="C14" s="158">
        <v>164</v>
      </c>
      <c r="D14" s="6">
        <v>0</v>
      </c>
      <c r="E14" s="7">
        <f aca="true" t="shared" si="0" ref="E14:E30">F14+Q14</f>
        <v>78</v>
      </c>
      <c r="F14" s="11">
        <f aca="true" t="shared" si="1" ref="F14:F30">G14+K14+N14+M14</f>
        <v>34</v>
      </c>
      <c r="G14" s="147">
        <f>H14+I14+J14</f>
        <v>34</v>
      </c>
      <c r="H14" s="10">
        <v>34</v>
      </c>
      <c r="I14" s="7"/>
      <c r="J14" s="8"/>
      <c r="K14" s="10"/>
      <c r="L14" s="7"/>
      <c r="M14" s="7"/>
      <c r="N14" s="7"/>
      <c r="O14" s="7"/>
      <c r="P14" s="8"/>
      <c r="Q14" s="163">
        <f>V14+X14+Y14+R14</f>
        <v>44</v>
      </c>
      <c r="R14" s="9">
        <f aca="true" t="shared" si="2" ref="R14:R30">S14+T14+U14</f>
        <v>44</v>
      </c>
      <c r="S14" s="10">
        <v>44</v>
      </c>
      <c r="T14" s="7"/>
      <c r="U14" s="8"/>
      <c r="V14" s="10"/>
      <c r="W14" s="7"/>
      <c r="X14" s="7"/>
      <c r="Y14" s="7"/>
      <c r="Z14" s="7"/>
      <c r="AA14" s="11"/>
    </row>
    <row r="15" spans="1:27" ht="20.25">
      <c r="A15" s="138" t="s">
        <v>29</v>
      </c>
      <c r="B15" s="154" t="s">
        <v>103</v>
      </c>
      <c r="C15" s="159">
        <v>144</v>
      </c>
      <c r="D15" s="12">
        <v>0</v>
      </c>
      <c r="E15" s="13">
        <f t="shared" si="0"/>
        <v>78</v>
      </c>
      <c r="F15" s="17">
        <f t="shared" si="1"/>
        <v>34</v>
      </c>
      <c r="G15" s="148">
        <f aca="true" t="shared" si="3" ref="G15:G30">H15+I15+J15</f>
        <v>34</v>
      </c>
      <c r="H15" s="16">
        <v>34</v>
      </c>
      <c r="I15" s="13"/>
      <c r="J15" s="14"/>
      <c r="K15" s="16"/>
      <c r="L15" s="13"/>
      <c r="M15" s="13"/>
      <c r="N15" s="13"/>
      <c r="O15" s="13"/>
      <c r="P15" s="14"/>
      <c r="Q15" s="164">
        <f aca="true" t="shared" si="4" ref="Q15:Q30">V15+X15+Y15+R15</f>
        <v>44</v>
      </c>
      <c r="R15" s="15">
        <f t="shared" si="2"/>
        <v>44</v>
      </c>
      <c r="S15" s="16">
        <v>44</v>
      </c>
      <c r="T15" s="13"/>
      <c r="U15" s="14"/>
      <c r="V15" s="16"/>
      <c r="W15" s="13"/>
      <c r="X15" s="13"/>
      <c r="Y15" s="13"/>
      <c r="Z15" s="13"/>
      <c r="AA15" s="17"/>
    </row>
    <row r="16" spans="1:27" ht="20.25">
      <c r="A16" s="138" t="s">
        <v>30</v>
      </c>
      <c r="B16" s="154" t="s">
        <v>104</v>
      </c>
      <c r="C16" s="159">
        <v>66</v>
      </c>
      <c r="D16" s="12">
        <v>0</v>
      </c>
      <c r="E16" s="13">
        <f t="shared" si="0"/>
        <v>66</v>
      </c>
      <c r="F16" s="17">
        <f t="shared" si="1"/>
        <v>0</v>
      </c>
      <c r="G16" s="148">
        <f t="shared" si="3"/>
        <v>0</v>
      </c>
      <c r="H16" s="16"/>
      <c r="I16" s="13"/>
      <c r="J16" s="14"/>
      <c r="K16" s="16"/>
      <c r="L16" s="13"/>
      <c r="M16" s="13"/>
      <c r="N16" s="13"/>
      <c r="O16" s="13"/>
      <c r="P16" s="14"/>
      <c r="Q16" s="164">
        <f t="shared" si="4"/>
        <v>66</v>
      </c>
      <c r="R16" s="15">
        <f t="shared" si="2"/>
        <v>66</v>
      </c>
      <c r="S16" s="16">
        <v>66</v>
      </c>
      <c r="T16" s="13"/>
      <c r="U16" s="14"/>
      <c r="V16" s="16"/>
      <c r="W16" s="13"/>
      <c r="X16" s="13"/>
      <c r="Y16" s="13"/>
      <c r="Z16" s="13"/>
      <c r="AA16" s="17"/>
    </row>
    <row r="17" spans="1:27" ht="20.25">
      <c r="A17" s="138" t="s">
        <v>31</v>
      </c>
      <c r="B17" s="154" t="s">
        <v>139</v>
      </c>
      <c r="C17" s="159">
        <v>144</v>
      </c>
      <c r="D17" s="12">
        <v>0</v>
      </c>
      <c r="E17" s="13">
        <f t="shared" si="0"/>
        <v>78</v>
      </c>
      <c r="F17" s="17">
        <f t="shared" si="1"/>
        <v>34</v>
      </c>
      <c r="G17" s="148">
        <f t="shared" si="3"/>
        <v>34</v>
      </c>
      <c r="H17" s="16">
        <v>34</v>
      </c>
      <c r="I17" s="13"/>
      <c r="J17" s="14"/>
      <c r="K17" s="16"/>
      <c r="L17" s="13"/>
      <c r="M17" s="13"/>
      <c r="N17" s="13"/>
      <c r="O17" s="13"/>
      <c r="P17" s="14"/>
      <c r="Q17" s="164">
        <f t="shared" si="4"/>
        <v>44</v>
      </c>
      <c r="R17" s="15">
        <f t="shared" si="2"/>
        <v>44</v>
      </c>
      <c r="S17" s="16">
        <v>44</v>
      </c>
      <c r="T17" s="13"/>
      <c r="U17" s="14"/>
      <c r="V17" s="16"/>
      <c r="W17" s="13"/>
      <c r="X17" s="13"/>
      <c r="Y17" s="13"/>
      <c r="Z17" s="13"/>
      <c r="AA17" s="17"/>
    </row>
    <row r="18" spans="1:27" s="239" customFormat="1" ht="20.25">
      <c r="A18" s="234" t="s">
        <v>32</v>
      </c>
      <c r="B18" s="154" t="s">
        <v>106</v>
      </c>
      <c r="C18" s="235">
        <v>130</v>
      </c>
      <c r="D18" s="12">
        <v>0</v>
      </c>
      <c r="E18" s="120">
        <f t="shared" si="0"/>
        <v>44</v>
      </c>
      <c r="F18" s="17">
        <f t="shared" si="1"/>
        <v>0</v>
      </c>
      <c r="G18" s="148">
        <f t="shared" si="3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164">
        <f t="shared" si="4"/>
        <v>44</v>
      </c>
      <c r="R18" s="15">
        <f t="shared" si="2"/>
        <v>44</v>
      </c>
      <c r="S18" s="119">
        <v>44</v>
      </c>
      <c r="T18" s="120"/>
      <c r="U18" s="21"/>
      <c r="V18" s="119"/>
      <c r="W18" s="120"/>
      <c r="X18" s="120"/>
      <c r="Y18" s="120"/>
      <c r="Z18" s="120"/>
      <c r="AA18" s="121"/>
    </row>
    <row r="19" spans="1:27" s="239" customFormat="1" ht="20.25">
      <c r="A19" s="234" t="s">
        <v>33</v>
      </c>
      <c r="B19" s="154" t="s">
        <v>107</v>
      </c>
      <c r="C19" s="235">
        <v>78</v>
      </c>
      <c r="D19" s="12">
        <v>0</v>
      </c>
      <c r="E19" s="120">
        <f t="shared" si="0"/>
        <v>78</v>
      </c>
      <c r="F19" s="17">
        <f t="shared" si="1"/>
        <v>34</v>
      </c>
      <c r="G19" s="148">
        <f t="shared" si="3"/>
        <v>34</v>
      </c>
      <c r="H19" s="119">
        <v>34</v>
      </c>
      <c r="I19" s="120"/>
      <c r="J19" s="21"/>
      <c r="K19" s="119"/>
      <c r="L19" s="120"/>
      <c r="M19" s="120"/>
      <c r="N19" s="120"/>
      <c r="O19" s="120"/>
      <c r="P19" s="21"/>
      <c r="Q19" s="164">
        <f t="shared" si="4"/>
        <v>44</v>
      </c>
      <c r="R19" s="15">
        <f t="shared" si="2"/>
        <v>44</v>
      </c>
      <c r="S19" s="119">
        <v>44</v>
      </c>
      <c r="T19" s="120"/>
      <c r="U19" s="21"/>
      <c r="V19" s="119"/>
      <c r="W19" s="120"/>
      <c r="X19" s="120"/>
      <c r="Y19" s="120"/>
      <c r="Z19" s="120"/>
      <c r="AA19" s="121"/>
    </row>
    <row r="20" spans="1:27" s="239" customFormat="1" ht="20.25">
      <c r="A20" s="234" t="s">
        <v>34</v>
      </c>
      <c r="B20" s="154" t="s">
        <v>110</v>
      </c>
      <c r="C20" s="235">
        <v>232</v>
      </c>
      <c r="D20" s="12">
        <v>0</v>
      </c>
      <c r="E20" s="120">
        <f t="shared" si="0"/>
        <v>112</v>
      </c>
      <c r="F20" s="17">
        <f t="shared" si="1"/>
        <v>68</v>
      </c>
      <c r="G20" s="148">
        <f t="shared" si="3"/>
        <v>68</v>
      </c>
      <c r="H20" s="119">
        <f>4*17</f>
        <v>68</v>
      </c>
      <c r="I20" s="120"/>
      <c r="J20" s="21"/>
      <c r="K20" s="119"/>
      <c r="L20" s="120"/>
      <c r="M20" s="120"/>
      <c r="N20" s="120"/>
      <c r="O20" s="120"/>
      <c r="P20" s="21"/>
      <c r="Q20" s="164">
        <f t="shared" si="4"/>
        <v>44</v>
      </c>
      <c r="R20" s="15">
        <f t="shared" si="2"/>
        <v>44</v>
      </c>
      <c r="S20" s="119">
        <v>44</v>
      </c>
      <c r="T20" s="120"/>
      <c r="U20" s="21"/>
      <c r="V20" s="119"/>
      <c r="W20" s="120"/>
      <c r="X20" s="120"/>
      <c r="Y20" s="120"/>
      <c r="Z20" s="120"/>
      <c r="AA20" s="121"/>
    </row>
    <row r="21" spans="1:27" ht="20.25">
      <c r="A21" s="138" t="s">
        <v>35</v>
      </c>
      <c r="B21" s="154" t="s">
        <v>111</v>
      </c>
      <c r="C21" s="159">
        <v>216</v>
      </c>
      <c r="D21" s="12">
        <v>0</v>
      </c>
      <c r="E21" s="13">
        <f t="shared" si="0"/>
        <v>116</v>
      </c>
      <c r="F21" s="17">
        <f t="shared" si="1"/>
        <v>50</v>
      </c>
      <c r="G21" s="148">
        <f t="shared" si="3"/>
        <v>50</v>
      </c>
      <c r="H21" s="16">
        <v>50</v>
      </c>
      <c r="I21" s="13"/>
      <c r="J21" s="14"/>
      <c r="K21" s="16"/>
      <c r="L21" s="13"/>
      <c r="M21" s="13"/>
      <c r="N21" s="13"/>
      <c r="O21" s="13"/>
      <c r="P21" s="14"/>
      <c r="Q21" s="164">
        <f t="shared" si="4"/>
        <v>66</v>
      </c>
      <c r="R21" s="15">
        <f t="shared" si="2"/>
        <v>66</v>
      </c>
      <c r="S21" s="16">
        <f>3*22</f>
        <v>66</v>
      </c>
      <c r="T21" s="13"/>
      <c r="U21" s="14"/>
      <c r="V21" s="16"/>
      <c r="W21" s="13"/>
      <c r="X21" s="13"/>
      <c r="Y21" s="13"/>
      <c r="Z21" s="13"/>
      <c r="AA21" s="17"/>
    </row>
    <row r="22" spans="1:27" ht="20.25">
      <c r="A22" s="138" t="s">
        <v>36</v>
      </c>
      <c r="B22" s="154" t="s">
        <v>112</v>
      </c>
      <c r="C22" s="159">
        <v>100</v>
      </c>
      <c r="D22" s="12">
        <v>0</v>
      </c>
      <c r="E22" s="13">
        <f t="shared" si="0"/>
        <v>100</v>
      </c>
      <c r="F22" s="17">
        <f t="shared" si="1"/>
        <v>34</v>
      </c>
      <c r="G22" s="148">
        <f t="shared" si="3"/>
        <v>34</v>
      </c>
      <c r="H22" s="16">
        <f>34</f>
        <v>34</v>
      </c>
      <c r="I22" s="13"/>
      <c r="J22" s="14"/>
      <c r="K22" s="16"/>
      <c r="L22" s="13"/>
      <c r="M22" s="13"/>
      <c r="N22" s="13"/>
      <c r="O22" s="13"/>
      <c r="P22" s="14"/>
      <c r="Q22" s="164">
        <f t="shared" si="4"/>
        <v>66</v>
      </c>
      <c r="R22" s="15">
        <f>S22+T22+U22</f>
        <v>66</v>
      </c>
      <c r="S22" s="16">
        <v>66</v>
      </c>
      <c r="T22" s="13"/>
      <c r="U22" s="14"/>
      <c r="V22" s="16"/>
      <c r="W22" s="13"/>
      <c r="X22" s="13"/>
      <c r="Y22" s="13"/>
      <c r="Z22" s="13"/>
      <c r="AA22" s="17"/>
    </row>
    <row r="23" spans="1:27" ht="20.25">
      <c r="A23" s="138" t="s">
        <v>37</v>
      </c>
      <c r="B23" s="154" t="s">
        <v>113</v>
      </c>
      <c r="C23" s="159">
        <v>112</v>
      </c>
      <c r="D23" s="12">
        <v>0</v>
      </c>
      <c r="E23" s="13">
        <f t="shared" si="0"/>
        <v>112</v>
      </c>
      <c r="F23" s="17">
        <f t="shared" si="1"/>
        <v>68</v>
      </c>
      <c r="G23" s="148">
        <f t="shared" si="3"/>
        <v>68</v>
      </c>
      <c r="H23" s="16">
        <v>42</v>
      </c>
      <c r="I23" s="13">
        <v>10</v>
      </c>
      <c r="J23" s="14">
        <v>16</v>
      </c>
      <c r="K23" s="16"/>
      <c r="L23" s="13"/>
      <c r="M23" s="13"/>
      <c r="N23" s="13"/>
      <c r="O23" s="13"/>
      <c r="P23" s="14"/>
      <c r="Q23" s="164">
        <f t="shared" si="4"/>
        <v>44</v>
      </c>
      <c r="R23" s="15">
        <f>S23+T23+U23</f>
        <v>44</v>
      </c>
      <c r="S23" s="16">
        <v>24</v>
      </c>
      <c r="T23" s="13">
        <v>10</v>
      </c>
      <c r="U23" s="14">
        <v>10</v>
      </c>
      <c r="V23" s="16"/>
      <c r="W23" s="13"/>
      <c r="X23" s="13"/>
      <c r="Y23" s="13"/>
      <c r="Z23" s="13"/>
      <c r="AA23" s="17"/>
    </row>
    <row r="24" spans="1:27" ht="20.25">
      <c r="A24" s="138" t="s">
        <v>38</v>
      </c>
      <c r="B24" s="154" t="s">
        <v>114</v>
      </c>
      <c r="C24" s="159">
        <v>78</v>
      </c>
      <c r="D24" s="12">
        <v>0</v>
      </c>
      <c r="E24" s="13">
        <f t="shared" si="0"/>
        <v>78</v>
      </c>
      <c r="F24" s="17">
        <f t="shared" si="1"/>
        <v>34</v>
      </c>
      <c r="G24" s="148">
        <f t="shared" si="3"/>
        <v>34</v>
      </c>
      <c r="H24" s="16">
        <v>34</v>
      </c>
      <c r="I24" s="13"/>
      <c r="J24" s="14"/>
      <c r="K24" s="16"/>
      <c r="L24" s="13"/>
      <c r="M24" s="13"/>
      <c r="N24" s="13"/>
      <c r="O24" s="13"/>
      <c r="P24" s="14"/>
      <c r="Q24" s="164">
        <f t="shared" si="4"/>
        <v>44</v>
      </c>
      <c r="R24" s="15">
        <f>S24+T24+U24</f>
        <v>44</v>
      </c>
      <c r="S24" s="16">
        <v>44</v>
      </c>
      <c r="T24" s="13"/>
      <c r="U24" s="14"/>
      <c r="V24" s="16"/>
      <c r="W24" s="13"/>
      <c r="X24" s="13"/>
      <c r="Y24" s="13"/>
      <c r="Z24" s="13"/>
      <c r="AA24" s="17"/>
    </row>
    <row r="25" spans="1:27" ht="20.25">
      <c r="A25" s="138" t="s">
        <v>39</v>
      </c>
      <c r="B25" s="154" t="s">
        <v>115</v>
      </c>
      <c r="C25" s="159">
        <v>220</v>
      </c>
      <c r="D25" s="12">
        <v>0</v>
      </c>
      <c r="E25" s="13">
        <f t="shared" si="0"/>
        <v>122</v>
      </c>
      <c r="F25" s="17">
        <f t="shared" si="1"/>
        <v>34</v>
      </c>
      <c r="G25" s="148">
        <f t="shared" si="3"/>
        <v>34</v>
      </c>
      <c r="H25" s="16">
        <v>34</v>
      </c>
      <c r="I25" s="13"/>
      <c r="J25" s="14"/>
      <c r="K25" s="16"/>
      <c r="L25" s="13"/>
      <c r="M25" s="13"/>
      <c r="N25" s="13"/>
      <c r="O25" s="13"/>
      <c r="P25" s="14"/>
      <c r="Q25" s="164">
        <f t="shared" si="4"/>
        <v>88</v>
      </c>
      <c r="R25" s="15">
        <f>S25+T25+U25</f>
        <v>88</v>
      </c>
      <c r="S25" s="16">
        <v>88</v>
      </c>
      <c r="T25" s="13"/>
      <c r="U25" s="14"/>
      <c r="V25" s="16"/>
      <c r="W25" s="13"/>
      <c r="X25" s="13"/>
      <c r="Y25" s="13"/>
      <c r="Z25" s="13"/>
      <c r="AA25" s="17"/>
    </row>
    <row r="26" spans="1:27" ht="21" thickBot="1">
      <c r="A26" s="287" t="s">
        <v>40</v>
      </c>
      <c r="B26" s="319" t="s">
        <v>116</v>
      </c>
      <c r="C26" s="292">
        <v>144</v>
      </c>
      <c r="D26" s="291">
        <v>0</v>
      </c>
      <c r="E26" s="95">
        <f t="shared" si="0"/>
        <v>112</v>
      </c>
      <c r="F26" s="99">
        <f t="shared" si="1"/>
        <v>68</v>
      </c>
      <c r="G26" s="149">
        <f t="shared" si="3"/>
        <v>68</v>
      </c>
      <c r="H26" s="98">
        <f>4*17</f>
        <v>68</v>
      </c>
      <c r="I26" s="95"/>
      <c r="J26" s="96"/>
      <c r="K26" s="98"/>
      <c r="L26" s="95"/>
      <c r="M26" s="95"/>
      <c r="N26" s="95"/>
      <c r="O26" s="95"/>
      <c r="P26" s="96"/>
      <c r="Q26" s="165">
        <f t="shared" si="4"/>
        <v>44</v>
      </c>
      <c r="R26" s="97">
        <f>S26+T26+U26</f>
        <v>44</v>
      </c>
      <c r="S26" s="98">
        <v>44</v>
      </c>
      <c r="T26" s="95"/>
      <c r="U26" s="96"/>
      <c r="V26" s="98"/>
      <c r="W26" s="95"/>
      <c r="X26" s="95"/>
      <c r="Y26" s="95"/>
      <c r="Z26" s="95"/>
      <c r="AA26" s="99"/>
    </row>
    <row r="27" spans="1:27" ht="20.25">
      <c r="A27" s="100" t="s">
        <v>41</v>
      </c>
      <c r="B27" s="320" t="s">
        <v>108</v>
      </c>
      <c r="C27" s="158">
        <v>60</v>
      </c>
      <c r="D27" s="6">
        <f>E27/30</f>
        <v>2</v>
      </c>
      <c r="E27" s="7">
        <f t="shared" si="0"/>
        <v>60</v>
      </c>
      <c r="F27" s="11">
        <f t="shared" si="1"/>
        <v>60</v>
      </c>
      <c r="G27" s="259">
        <f t="shared" si="3"/>
        <v>34</v>
      </c>
      <c r="H27" s="10">
        <v>18</v>
      </c>
      <c r="I27" s="7"/>
      <c r="J27" s="8">
        <v>16</v>
      </c>
      <c r="K27" s="10">
        <v>26</v>
      </c>
      <c r="L27" s="7"/>
      <c r="M27" s="7"/>
      <c r="N27" s="7"/>
      <c r="O27" s="7"/>
      <c r="P27" s="8" t="s">
        <v>88</v>
      </c>
      <c r="Q27" s="163">
        <f t="shared" si="4"/>
        <v>0</v>
      </c>
      <c r="R27" s="9">
        <f t="shared" si="2"/>
        <v>0</v>
      </c>
      <c r="S27" s="10"/>
      <c r="T27" s="296"/>
      <c r="U27" s="297"/>
      <c r="V27" s="321"/>
      <c r="W27" s="7"/>
      <c r="X27" s="7"/>
      <c r="Y27" s="7"/>
      <c r="Z27" s="7"/>
      <c r="AA27" s="322"/>
    </row>
    <row r="28" spans="1:27" ht="20.25">
      <c r="A28" s="138" t="s">
        <v>55</v>
      </c>
      <c r="B28" s="293" t="s">
        <v>97</v>
      </c>
      <c r="C28" s="159">
        <v>34</v>
      </c>
      <c r="D28" s="12">
        <v>0</v>
      </c>
      <c r="E28" s="13">
        <f t="shared" si="0"/>
        <v>34</v>
      </c>
      <c r="F28" s="17">
        <f t="shared" si="1"/>
        <v>34</v>
      </c>
      <c r="G28" s="301">
        <f t="shared" si="3"/>
        <v>34</v>
      </c>
      <c r="H28" s="16">
        <v>18</v>
      </c>
      <c r="I28" s="13"/>
      <c r="J28" s="14">
        <v>16</v>
      </c>
      <c r="K28" s="16"/>
      <c r="L28" s="13"/>
      <c r="M28" s="13"/>
      <c r="N28" s="13"/>
      <c r="O28" s="13"/>
      <c r="P28" s="14"/>
      <c r="Q28" s="164">
        <f t="shared" si="4"/>
        <v>0</v>
      </c>
      <c r="R28" s="15">
        <f t="shared" si="2"/>
        <v>0</v>
      </c>
      <c r="S28" s="16"/>
      <c r="T28" s="166"/>
      <c r="U28" s="298"/>
      <c r="V28" s="20"/>
      <c r="W28" s="13"/>
      <c r="X28" s="13"/>
      <c r="Y28" s="13"/>
      <c r="Z28" s="13"/>
      <c r="AA28" s="121"/>
    </row>
    <row r="29" spans="1:27" ht="20.25">
      <c r="A29" s="234" t="s">
        <v>56</v>
      </c>
      <c r="B29" s="156" t="s">
        <v>117</v>
      </c>
      <c r="C29" s="159">
        <v>120</v>
      </c>
      <c r="D29" s="12">
        <f>E29/30</f>
        <v>4</v>
      </c>
      <c r="E29" s="13">
        <f t="shared" si="0"/>
        <v>120</v>
      </c>
      <c r="F29" s="17">
        <f t="shared" si="1"/>
        <v>60</v>
      </c>
      <c r="G29" s="301">
        <f t="shared" si="3"/>
        <v>34</v>
      </c>
      <c r="H29" s="16">
        <v>18</v>
      </c>
      <c r="I29" s="13"/>
      <c r="J29" s="14">
        <v>16</v>
      </c>
      <c r="K29" s="16">
        <v>26</v>
      </c>
      <c r="L29" s="13"/>
      <c r="M29" s="13"/>
      <c r="N29" s="13"/>
      <c r="O29" s="13"/>
      <c r="P29" s="14" t="s">
        <v>91</v>
      </c>
      <c r="Q29" s="164">
        <f t="shared" si="4"/>
        <v>60</v>
      </c>
      <c r="R29" s="15">
        <f t="shared" si="2"/>
        <v>44</v>
      </c>
      <c r="S29" s="16">
        <v>22</v>
      </c>
      <c r="T29" s="166"/>
      <c r="U29" s="298">
        <v>22</v>
      </c>
      <c r="V29" s="20">
        <v>16</v>
      </c>
      <c r="W29" s="13"/>
      <c r="X29" s="13"/>
      <c r="Y29" s="13"/>
      <c r="Z29" s="13"/>
      <c r="AA29" s="121" t="s">
        <v>67</v>
      </c>
    </row>
    <row r="30" spans="1:27" ht="21" thickBot="1">
      <c r="A30" s="186" t="s">
        <v>57</v>
      </c>
      <c r="B30" s="157" t="s">
        <v>152</v>
      </c>
      <c r="C30" s="292">
        <v>75</v>
      </c>
      <c r="D30" s="291">
        <f>E30/30</f>
        <v>2.5</v>
      </c>
      <c r="E30" s="95">
        <f t="shared" si="0"/>
        <v>75</v>
      </c>
      <c r="F30" s="99">
        <f t="shared" si="1"/>
        <v>0</v>
      </c>
      <c r="G30" s="302">
        <f t="shared" si="3"/>
        <v>0</v>
      </c>
      <c r="H30" s="98"/>
      <c r="I30" s="95"/>
      <c r="J30" s="96"/>
      <c r="K30" s="98"/>
      <c r="L30" s="95"/>
      <c r="M30" s="95"/>
      <c r="N30" s="95"/>
      <c r="O30" s="95"/>
      <c r="P30" s="96"/>
      <c r="Q30" s="165">
        <f t="shared" si="4"/>
        <v>75</v>
      </c>
      <c r="R30" s="97">
        <f t="shared" si="2"/>
        <v>44</v>
      </c>
      <c r="S30" s="98">
        <v>22</v>
      </c>
      <c r="T30" s="250"/>
      <c r="U30" s="300">
        <v>22</v>
      </c>
      <c r="V30" s="162">
        <v>31</v>
      </c>
      <c r="W30" s="95"/>
      <c r="X30" s="95"/>
      <c r="Y30" s="95"/>
      <c r="Z30" s="95"/>
      <c r="AA30" s="107" t="s">
        <v>67</v>
      </c>
    </row>
    <row r="31" spans="1:27" ht="21" thickBot="1">
      <c r="A31" s="240"/>
      <c r="B31" s="241" t="s">
        <v>42</v>
      </c>
      <c r="C31" s="242">
        <f aca="true" t="shared" si="5" ref="C31:N31">SUM(C14:C30)</f>
        <v>2117</v>
      </c>
      <c r="D31" s="242">
        <f t="shared" si="5"/>
        <v>8.5</v>
      </c>
      <c r="E31" s="242">
        <f t="shared" si="5"/>
        <v>1463</v>
      </c>
      <c r="F31" s="242">
        <f t="shared" si="5"/>
        <v>646</v>
      </c>
      <c r="G31" s="242">
        <f t="shared" si="5"/>
        <v>594</v>
      </c>
      <c r="H31" s="242">
        <f t="shared" si="5"/>
        <v>520</v>
      </c>
      <c r="I31" s="242">
        <f t="shared" si="5"/>
        <v>10</v>
      </c>
      <c r="J31" s="242">
        <f t="shared" si="5"/>
        <v>64</v>
      </c>
      <c r="K31" s="242">
        <f t="shared" si="5"/>
        <v>52</v>
      </c>
      <c r="L31" s="242">
        <f t="shared" si="5"/>
        <v>0</v>
      </c>
      <c r="M31" s="242">
        <f t="shared" si="5"/>
        <v>0</v>
      </c>
      <c r="N31" s="242">
        <f t="shared" si="5"/>
        <v>0</v>
      </c>
      <c r="O31" s="242">
        <v>0</v>
      </c>
      <c r="P31" s="242">
        <v>2</v>
      </c>
      <c r="Q31" s="39">
        <f aca="true" t="shared" si="6" ref="Q31:Y31">SUM(Q14:Q30)</f>
        <v>817</v>
      </c>
      <c r="R31" s="39">
        <f t="shared" si="6"/>
        <v>770</v>
      </c>
      <c r="S31" s="39">
        <f t="shared" si="6"/>
        <v>706</v>
      </c>
      <c r="T31" s="39">
        <f t="shared" si="6"/>
        <v>10</v>
      </c>
      <c r="U31" s="39">
        <f t="shared" si="6"/>
        <v>54</v>
      </c>
      <c r="V31" s="39">
        <f t="shared" si="6"/>
        <v>47</v>
      </c>
      <c r="W31" s="39">
        <f t="shared" si="6"/>
        <v>0</v>
      </c>
      <c r="X31" s="39">
        <f t="shared" si="6"/>
        <v>0</v>
      </c>
      <c r="Y31" s="39">
        <f t="shared" si="6"/>
        <v>0</v>
      </c>
      <c r="Z31" s="39">
        <v>0</v>
      </c>
      <c r="AA31" s="39">
        <v>2</v>
      </c>
    </row>
    <row r="32" spans="1:27" ht="21" thickBot="1">
      <c r="A32" s="589"/>
      <c r="B32" s="40" t="s">
        <v>43</v>
      </c>
      <c r="C32" s="41"/>
      <c r="D32" s="42"/>
      <c r="E32" s="43"/>
      <c r="F32" s="44"/>
      <c r="G32" s="45">
        <f>G31/J10</f>
        <v>34.94117647058823</v>
      </c>
      <c r="H32" s="46"/>
      <c r="I32" s="47"/>
      <c r="J32" s="47"/>
      <c r="K32" s="47"/>
      <c r="L32" s="47"/>
      <c r="M32" s="47"/>
      <c r="N32" s="47"/>
      <c r="O32" s="48"/>
      <c r="P32" s="49"/>
      <c r="Q32" s="44"/>
      <c r="R32" s="50">
        <f>SUM(R14:R30)/U10</f>
        <v>35</v>
      </c>
      <c r="S32" s="51"/>
      <c r="T32" s="41"/>
      <c r="U32" s="41"/>
      <c r="V32" s="41"/>
      <c r="W32" s="41"/>
      <c r="X32" s="41"/>
      <c r="Y32" s="41"/>
      <c r="Z32" s="52"/>
      <c r="AA32" s="143"/>
    </row>
    <row r="33" spans="1:27" ht="21" thickBot="1">
      <c r="A33" s="590"/>
      <c r="B33" s="53" t="s">
        <v>44</v>
      </c>
      <c r="C33" s="43"/>
      <c r="D33" s="54"/>
      <c r="E33" s="43"/>
      <c r="F33" s="55"/>
      <c r="G33" s="56"/>
      <c r="H33" s="57"/>
      <c r="I33" s="43"/>
      <c r="J33" s="43"/>
      <c r="K33" s="43"/>
      <c r="L33" s="43"/>
      <c r="M33" s="43"/>
      <c r="N33" s="58"/>
      <c r="O33" s="39">
        <v>0</v>
      </c>
      <c r="P33" s="59"/>
      <c r="Q33" s="60"/>
      <c r="R33" s="61"/>
      <c r="S33" s="62"/>
      <c r="T33" s="62"/>
      <c r="U33" s="62"/>
      <c r="V33" s="62"/>
      <c r="W33" s="62"/>
      <c r="X33" s="62"/>
      <c r="Y33" s="58"/>
      <c r="Z33" s="39">
        <v>0</v>
      </c>
      <c r="AA33" s="144"/>
    </row>
    <row r="34" spans="1:27" ht="21" thickBot="1">
      <c r="A34" s="590"/>
      <c r="B34" s="53" t="s">
        <v>45</v>
      </c>
      <c r="C34" s="43"/>
      <c r="D34" s="54"/>
      <c r="E34" s="43"/>
      <c r="F34" s="55"/>
      <c r="G34" s="58"/>
      <c r="H34" s="57"/>
      <c r="I34" s="43"/>
      <c r="J34" s="43"/>
      <c r="K34" s="43"/>
      <c r="L34" s="63"/>
      <c r="M34" s="43"/>
      <c r="N34" s="62"/>
      <c r="O34" s="56"/>
      <c r="P34" s="39">
        <v>2</v>
      </c>
      <c r="Q34" s="60"/>
      <c r="R34" s="62"/>
      <c r="S34" s="62"/>
      <c r="T34" s="62"/>
      <c r="U34" s="62"/>
      <c r="V34" s="62"/>
      <c r="W34" s="64"/>
      <c r="X34" s="62"/>
      <c r="Y34" s="62"/>
      <c r="Z34" s="56"/>
      <c r="AA34" s="39">
        <v>2</v>
      </c>
    </row>
    <row r="35" spans="1:27" ht="21" thickBot="1">
      <c r="A35" s="590"/>
      <c r="B35" s="65" t="s">
        <v>46</v>
      </c>
      <c r="C35" s="63"/>
      <c r="D35" s="66"/>
      <c r="E35" s="63"/>
      <c r="F35" s="67"/>
      <c r="G35" s="66"/>
      <c r="H35" s="68"/>
      <c r="I35" s="69"/>
      <c r="J35" s="69"/>
      <c r="K35" s="70"/>
      <c r="L35" s="39">
        <f>COUNT(L14:L30)</f>
        <v>0</v>
      </c>
      <c r="M35" s="71"/>
      <c r="N35" s="72"/>
      <c r="O35" s="72"/>
      <c r="P35" s="73"/>
      <c r="Q35" s="74"/>
      <c r="R35" s="64"/>
      <c r="S35" s="64"/>
      <c r="T35" s="64"/>
      <c r="U35" s="64"/>
      <c r="V35" s="75"/>
      <c r="W35" s="39">
        <v>0</v>
      </c>
      <c r="X35" s="67"/>
      <c r="Y35" s="63"/>
      <c r="Z35" s="64"/>
      <c r="AA35" s="145"/>
    </row>
    <row r="36" spans="1:27" ht="21" thickBot="1">
      <c r="A36" s="591"/>
      <c r="B36" s="137" t="s">
        <v>47</v>
      </c>
      <c r="C36" s="77">
        <f>SUM(C32:C35)</f>
        <v>0</v>
      </c>
      <c r="D36" s="77">
        <f aca="true" t="shared" si="7" ref="D36:AA36">SUM(D32:D35)</f>
        <v>0</v>
      </c>
      <c r="E36" s="77">
        <f t="shared" si="7"/>
        <v>0</v>
      </c>
      <c r="F36" s="79">
        <f t="shared" si="7"/>
        <v>0</v>
      </c>
      <c r="G36" s="390">
        <f>SUM(G32:G35)</f>
        <v>34.94117647058823</v>
      </c>
      <c r="H36" s="38">
        <f t="shared" si="7"/>
        <v>0</v>
      </c>
      <c r="I36" s="31">
        <f t="shared" si="7"/>
        <v>0</v>
      </c>
      <c r="J36" s="31">
        <f t="shared" si="7"/>
        <v>0</v>
      </c>
      <c r="K36" s="32">
        <f t="shared" si="7"/>
        <v>0</v>
      </c>
      <c r="L36" s="39">
        <f t="shared" si="7"/>
        <v>0</v>
      </c>
      <c r="M36" s="38">
        <f t="shared" si="7"/>
        <v>0</v>
      </c>
      <c r="N36" s="31">
        <f t="shared" si="7"/>
        <v>0</v>
      </c>
      <c r="O36" s="31">
        <f t="shared" si="7"/>
        <v>0</v>
      </c>
      <c r="P36" s="31">
        <f t="shared" si="7"/>
        <v>2</v>
      </c>
      <c r="Q36" s="79">
        <f t="shared" si="7"/>
        <v>0</v>
      </c>
      <c r="R36" s="390">
        <f t="shared" si="7"/>
        <v>35</v>
      </c>
      <c r="S36" s="243">
        <f t="shared" si="7"/>
        <v>0</v>
      </c>
      <c r="T36" s="77">
        <f t="shared" si="7"/>
        <v>0</v>
      </c>
      <c r="U36" s="77">
        <f t="shared" si="7"/>
        <v>0</v>
      </c>
      <c r="V36" s="77">
        <f t="shared" si="7"/>
        <v>0</v>
      </c>
      <c r="W36" s="77">
        <f t="shared" si="7"/>
        <v>0</v>
      </c>
      <c r="X36" s="77">
        <f t="shared" si="7"/>
        <v>0</v>
      </c>
      <c r="Y36" s="77">
        <f t="shared" si="7"/>
        <v>0</v>
      </c>
      <c r="Z36" s="77">
        <f t="shared" si="7"/>
        <v>0</v>
      </c>
      <c r="AA36" s="146">
        <f t="shared" si="7"/>
        <v>2</v>
      </c>
    </row>
    <row r="37" spans="1:27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20.25">
      <c r="A38" s="80"/>
      <c r="B38" s="80"/>
      <c r="C38" s="81"/>
      <c r="D38" s="80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20.25">
      <c r="A39" s="80"/>
      <c r="B39" s="80"/>
      <c r="C39" s="81"/>
      <c r="D39" s="80"/>
      <c r="E39" s="81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6.25">
      <c r="A40" s="1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 t="s">
        <v>59</v>
      </c>
      <c r="L40" s="82"/>
      <c r="M40" s="82"/>
      <c r="N40" s="82"/>
      <c r="O40" s="82"/>
      <c r="P40" s="82"/>
      <c r="Q40" s="82"/>
      <c r="R40" s="83"/>
      <c r="S40" s="83"/>
      <c r="T40" s="84"/>
      <c r="U40" s="85"/>
      <c r="V40" s="85"/>
      <c r="W40" s="85"/>
      <c r="X40" s="85"/>
      <c r="Y40" s="86"/>
      <c r="Z40" s="86"/>
      <c r="AA40" s="86"/>
    </row>
    <row r="41" spans="1:27" ht="26.25">
      <c r="A41" s="87"/>
      <c r="B41" s="592"/>
      <c r="C41" s="592"/>
      <c r="D41" s="592"/>
      <c r="E41" s="592"/>
      <c r="F41" s="592"/>
      <c r="G41" s="592"/>
      <c r="H41" s="592"/>
      <c r="I41" s="592"/>
      <c r="J41" s="592"/>
      <c r="K41" s="87"/>
      <c r="L41" s="87"/>
      <c r="M41" s="87"/>
      <c r="N41" s="87"/>
      <c r="O41" s="87"/>
      <c r="P41" s="87"/>
      <c r="Q41" s="87"/>
      <c r="R41" s="87" t="s">
        <v>48</v>
      </c>
      <c r="S41" s="89"/>
      <c r="T41" s="90" t="s">
        <v>49</v>
      </c>
      <c r="U41" s="91" t="s">
        <v>50</v>
      </c>
      <c r="V41" s="91"/>
      <c r="W41" s="91"/>
      <c r="X41" s="90"/>
      <c r="Y41" s="90"/>
      <c r="Z41" s="92"/>
      <c r="AA41" s="92"/>
    </row>
    <row r="42" spans="1:27" ht="26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4"/>
      <c r="U42" s="84"/>
      <c r="V42" s="84"/>
      <c r="W42" s="84"/>
      <c r="X42" s="93"/>
      <c r="Y42" s="93"/>
      <c r="Z42" s="94"/>
      <c r="AA42" s="94"/>
    </row>
    <row r="43" spans="1:27" ht="26.2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2" t="s">
        <v>51</v>
      </c>
      <c r="L43" s="82"/>
      <c r="M43" s="82"/>
      <c r="N43" s="82"/>
      <c r="O43" s="82"/>
      <c r="P43" s="82"/>
      <c r="Q43" s="82"/>
      <c r="R43" s="83"/>
      <c r="S43" s="83"/>
      <c r="T43" s="84"/>
      <c r="U43" s="85"/>
      <c r="V43" s="85"/>
      <c r="W43" s="85"/>
      <c r="X43" s="85"/>
      <c r="Y43" s="86"/>
      <c r="Z43" s="94"/>
      <c r="AA43" s="94"/>
    </row>
    <row r="44" spans="1:27" ht="26.2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 t="s">
        <v>48</v>
      </c>
      <c r="S44" s="89"/>
      <c r="T44" s="90" t="s">
        <v>52</v>
      </c>
      <c r="U44" s="91" t="s">
        <v>50</v>
      </c>
      <c r="V44" s="91"/>
      <c r="W44" s="91"/>
      <c r="X44" s="90"/>
      <c r="Y44" s="90"/>
      <c r="Z44" s="94"/>
      <c r="AA44" s="94"/>
    </row>
  </sheetData>
  <sheetProtection/>
  <mergeCells count="42">
    <mergeCell ref="A32:A36"/>
    <mergeCell ref="B41:J41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0"/>
  <sheetViews>
    <sheetView zoomScale="55" zoomScaleNormal="55" zoomScalePageLayoutView="0" workbookViewId="0" topLeftCell="A12">
      <selection activeCell="U26" sqref="U26"/>
    </sheetView>
  </sheetViews>
  <sheetFormatPr defaultColWidth="9.140625" defaultRowHeight="15"/>
  <cols>
    <col min="2" max="2" width="91.140625" style="0" customWidth="1"/>
    <col min="7" max="7" width="12.00390625" style="0" customWidth="1"/>
    <col min="18" max="18" width="11.00390625" style="0" customWidth="1"/>
    <col min="22" max="22" width="10.421875" style="0" customWidth="1"/>
    <col min="23" max="23" width="9.7109375" style="0" customWidth="1"/>
    <col min="25" max="25" width="10.7109375" style="0" customWidth="1"/>
    <col min="27" max="27" width="10.7109375" style="0" customWidth="1"/>
  </cols>
  <sheetData>
    <row r="1" spans="1:27" ht="26.25">
      <c r="A1" s="1" t="s">
        <v>0</v>
      </c>
      <c r="B1" s="1"/>
      <c r="C1" s="557" t="s">
        <v>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26.25">
      <c r="A2" s="1" t="s">
        <v>2</v>
      </c>
      <c r="B2" s="1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ht="26.25">
      <c r="A3" s="1"/>
      <c r="B3" s="1"/>
      <c r="C3" s="558" t="s">
        <v>3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6.25">
      <c r="A4" s="1" t="s">
        <v>4</v>
      </c>
      <c r="B4" s="1"/>
      <c r="C4" s="557" t="s">
        <v>58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ht="63" customHeight="1">
      <c r="A5" s="1" t="s">
        <v>5</v>
      </c>
      <c r="B5" s="1"/>
      <c r="C5" s="559" t="s">
        <v>203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</row>
    <row r="6" spans="1:27" ht="26.25">
      <c r="A6" s="1" t="s">
        <v>336</v>
      </c>
      <c r="B6" s="1"/>
      <c r="C6" s="557" t="s">
        <v>6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</row>
    <row r="7" spans="1:27" ht="27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60"/>
      <c r="X7" s="560"/>
      <c r="Y7" s="560"/>
      <c r="Z7" s="560"/>
      <c r="AA7" s="560"/>
    </row>
    <row r="8" spans="1:27" ht="21" thickBot="1">
      <c r="A8" s="561" t="s">
        <v>205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</row>
    <row r="9" spans="1:27" ht="21" thickBot="1">
      <c r="A9" s="561" t="s">
        <v>64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</row>
    <row r="10" spans="1:27" ht="21" customHeight="1" thickBot="1">
      <c r="A10" s="564" t="s">
        <v>7</v>
      </c>
      <c r="B10" s="567" t="s">
        <v>8</v>
      </c>
      <c r="C10" s="564" t="s">
        <v>9</v>
      </c>
      <c r="D10" s="570" t="s">
        <v>10</v>
      </c>
      <c r="E10" s="571" t="s">
        <v>11</v>
      </c>
      <c r="F10" s="572" t="s">
        <v>61</v>
      </c>
      <c r="G10" s="573"/>
      <c r="H10" s="573"/>
      <c r="I10" s="573"/>
      <c r="J10" s="140">
        <v>16</v>
      </c>
      <c r="K10" s="573" t="s">
        <v>12</v>
      </c>
      <c r="L10" s="573"/>
      <c r="M10" s="573"/>
      <c r="N10" s="573"/>
      <c r="O10" s="573"/>
      <c r="P10" s="574"/>
      <c r="Q10" s="572" t="s">
        <v>62</v>
      </c>
      <c r="R10" s="573"/>
      <c r="S10" s="573"/>
      <c r="T10" s="574"/>
      <c r="U10" s="140">
        <v>17</v>
      </c>
      <c r="V10" s="572" t="s">
        <v>12</v>
      </c>
      <c r="W10" s="573"/>
      <c r="X10" s="573"/>
      <c r="Y10" s="573"/>
      <c r="Z10" s="573"/>
      <c r="AA10" s="574"/>
    </row>
    <row r="11" spans="1:27" ht="21" thickBot="1">
      <c r="A11" s="565"/>
      <c r="B11" s="568"/>
      <c r="C11" s="565"/>
      <c r="D11" s="570"/>
      <c r="E11" s="571"/>
      <c r="F11" s="593" t="s">
        <v>13</v>
      </c>
      <c r="G11" s="577" t="s">
        <v>14</v>
      </c>
      <c r="H11" s="578"/>
      <c r="I11" s="578"/>
      <c r="J11" s="578"/>
      <c r="K11" s="579" t="s">
        <v>15</v>
      </c>
      <c r="L11" s="581" t="s">
        <v>16</v>
      </c>
      <c r="M11" s="581" t="s">
        <v>17</v>
      </c>
      <c r="N11" s="581" t="s">
        <v>18</v>
      </c>
      <c r="O11" s="583" t="s">
        <v>19</v>
      </c>
      <c r="P11" s="584"/>
      <c r="Q11" s="566" t="s">
        <v>13</v>
      </c>
      <c r="R11" s="577" t="s">
        <v>14</v>
      </c>
      <c r="S11" s="578"/>
      <c r="T11" s="578"/>
      <c r="U11" s="578"/>
      <c r="V11" s="579" t="s">
        <v>15</v>
      </c>
      <c r="W11" s="581" t="s">
        <v>16</v>
      </c>
      <c r="X11" s="581" t="s">
        <v>17</v>
      </c>
      <c r="Y11" s="581" t="s">
        <v>18</v>
      </c>
      <c r="Z11" s="583" t="s">
        <v>19</v>
      </c>
      <c r="AA11" s="584"/>
    </row>
    <row r="12" spans="1:27" ht="21" thickBot="1">
      <c r="A12" s="565"/>
      <c r="B12" s="568"/>
      <c r="C12" s="565"/>
      <c r="D12" s="570"/>
      <c r="E12" s="571"/>
      <c r="F12" s="593"/>
      <c r="G12" s="575" t="s">
        <v>13</v>
      </c>
      <c r="H12" s="576" t="s">
        <v>20</v>
      </c>
      <c r="I12" s="576"/>
      <c r="J12" s="576"/>
      <c r="K12" s="580"/>
      <c r="L12" s="582"/>
      <c r="M12" s="582"/>
      <c r="N12" s="582"/>
      <c r="O12" s="585" t="s">
        <v>21</v>
      </c>
      <c r="P12" s="587" t="s">
        <v>22</v>
      </c>
      <c r="Q12" s="570"/>
      <c r="R12" s="575" t="s">
        <v>13</v>
      </c>
      <c r="S12" s="576" t="s">
        <v>20</v>
      </c>
      <c r="T12" s="576"/>
      <c r="U12" s="576"/>
      <c r="V12" s="580"/>
      <c r="W12" s="582"/>
      <c r="X12" s="582"/>
      <c r="Y12" s="582"/>
      <c r="Z12" s="585" t="s">
        <v>23</v>
      </c>
      <c r="AA12" s="587" t="s">
        <v>24</v>
      </c>
    </row>
    <row r="13" spans="1:27" ht="213.75" customHeight="1" thickBot="1">
      <c r="A13" s="566"/>
      <c r="B13" s="569"/>
      <c r="C13" s="566"/>
      <c r="D13" s="570"/>
      <c r="E13" s="571"/>
      <c r="F13" s="593"/>
      <c r="G13" s="575"/>
      <c r="H13" s="3" t="s">
        <v>25</v>
      </c>
      <c r="I13" s="4" t="s">
        <v>26</v>
      </c>
      <c r="J13" s="5" t="s">
        <v>27</v>
      </c>
      <c r="K13" s="580"/>
      <c r="L13" s="582"/>
      <c r="M13" s="582"/>
      <c r="N13" s="582"/>
      <c r="O13" s="586"/>
      <c r="P13" s="588"/>
      <c r="Q13" s="570"/>
      <c r="R13" s="575"/>
      <c r="S13" s="3" t="s">
        <v>25</v>
      </c>
      <c r="T13" s="4" t="s">
        <v>26</v>
      </c>
      <c r="U13" s="5" t="s">
        <v>27</v>
      </c>
      <c r="V13" s="580"/>
      <c r="W13" s="582"/>
      <c r="X13" s="582"/>
      <c r="Y13" s="582"/>
      <c r="Z13" s="586"/>
      <c r="AA13" s="588"/>
    </row>
    <row r="14" spans="1:27" ht="24.75" customHeight="1">
      <c r="A14" s="100" t="s">
        <v>28</v>
      </c>
      <c r="B14" s="139" t="s">
        <v>85</v>
      </c>
      <c r="C14" s="158">
        <v>60</v>
      </c>
      <c r="D14" s="6">
        <f>E14/30</f>
        <v>2</v>
      </c>
      <c r="E14" s="7">
        <f aca="true" t="shared" si="0" ref="E14:E25">F14+Q14</f>
        <v>60</v>
      </c>
      <c r="F14" s="8">
        <f>G14+K14+N14+M14</f>
        <v>0</v>
      </c>
      <c r="G14" s="9">
        <f>H14+I14+J14</f>
        <v>0</v>
      </c>
      <c r="H14" s="10"/>
      <c r="I14" s="7"/>
      <c r="J14" s="8"/>
      <c r="K14" s="10"/>
      <c r="L14" s="7"/>
      <c r="M14" s="7"/>
      <c r="N14" s="7"/>
      <c r="O14" s="7"/>
      <c r="P14" s="8"/>
      <c r="Q14" s="163">
        <f aca="true" t="shared" si="1" ref="Q14:Q24">V14+X14+Y14+R14</f>
        <v>60</v>
      </c>
      <c r="R14" s="9">
        <f aca="true" t="shared" si="2" ref="R14:R24">S14+T14+U14</f>
        <v>34</v>
      </c>
      <c r="S14" s="10">
        <v>24</v>
      </c>
      <c r="T14" s="7"/>
      <c r="U14" s="8">
        <v>10</v>
      </c>
      <c r="V14" s="10">
        <v>26</v>
      </c>
      <c r="W14" s="7"/>
      <c r="X14" s="7"/>
      <c r="Y14" s="7"/>
      <c r="Z14" s="7" t="s">
        <v>69</v>
      </c>
      <c r="AA14" s="11"/>
    </row>
    <row r="15" spans="1:27" ht="24.75" customHeight="1">
      <c r="A15" s="138" t="s">
        <v>29</v>
      </c>
      <c r="B15" s="102" t="s">
        <v>86</v>
      </c>
      <c r="C15" s="159">
        <v>60</v>
      </c>
      <c r="D15" s="12">
        <f aca="true" t="shared" si="3" ref="D15:D25">E15/30</f>
        <v>2</v>
      </c>
      <c r="E15" s="13">
        <f t="shared" si="0"/>
        <v>60</v>
      </c>
      <c r="F15" s="14">
        <f>G15+K15+N15+M15</f>
        <v>0</v>
      </c>
      <c r="G15" s="15">
        <f aca="true" t="shared" si="4" ref="G15:G25">H15+I15+J15</f>
        <v>0</v>
      </c>
      <c r="H15" s="16"/>
      <c r="I15" s="13"/>
      <c r="J15" s="14"/>
      <c r="K15" s="16"/>
      <c r="L15" s="13"/>
      <c r="M15" s="13"/>
      <c r="N15" s="13"/>
      <c r="O15" s="13"/>
      <c r="P15" s="14"/>
      <c r="Q15" s="164">
        <f t="shared" si="1"/>
        <v>60</v>
      </c>
      <c r="R15" s="15">
        <f t="shared" si="2"/>
        <v>34</v>
      </c>
      <c r="S15" s="16">
        <v>18</v>
      </c>
      <c r="T15" s="13"/>
      <c r="U15" s="14">
        <v>16</v>
      </c>
      <c r="V15" s="16">
        <v>26</v>
      </c>
      <c r="W15" s="13"/>
      <c r="X15" s="13"/>
      <c r="Y15" s="13"/>
      <c r="Z15" s="13"/>
      <c r="AA15" s="17" t="s">
        <v>67</v>
      </c>
    </row>
    <row r="16" spans="1:27" ht="24.75" customHeight="1">
      <c r="A16" s="138" t="s">
        <v>30</v>
      </c>
      <c r="B16" s="102" t="s">
        <v>87</v>
      </c>
      <c r="C16" s="159">
        <v>105</v>
      </c>
      <c r="D16" s="12">
        <f t="shared" si="3"/>
        <v>3</v>
      </c>
      <c r="E16" s="13">
        <f t="shared" si="0"/>
        <v>90</v>
      </c>
      <c r="F16" s="14">
        <f aca="true" t="shared" si="5" ref="F16:F26">G16+K16+N16+M16</f>
        <v>90</v>
      </c>
      <c r="G16" s="15">
        <f t="shared" si="4"/>
        <v>48</v>
      </c>
      <c r="H16" s="16">
        <v>32</v>
      </c>
      <c r="I16" s="13"/>
      <c r="J16" s="14">
        <v>16</v>
      </c>
      <c r="K16" s="16">
        <v>42</v>
      </c>
      <c r="L16" s="13"/>
      <c r="M16" s="13"/>
      <c r="N16" s="13"/>
      <c r="O16" s="13"/>
      <c r="P16" s="14" t="s">
        <v>67</v>
      </c>
      <c r="Q16" s="164">
        <f t="shared" si="1"/>
        <v>0</v>
      </c>
      <c r="R16" s="15">
        <f t="shared" si="2"/>
        <v>0</v>
      </c>
      <c r="S16" s="16"/>
      <c r="T16" s="13"/>
      <c r="U16" s="14"/>
      <c r="V16" s="16"/>
      <c r="W16" s="13"/>
      <c r="X16" s="13"/>
      <c r="Y16" s="13"/>
      <c r="Z16" s="13"/>
      <c r="AA16" s="17"/>
    </row>
    <row r="17" spans="1:27" s="239" customFormat="1" ht="24.75" customHeight="1">
      <c r="A17" s="234" t="s">
        <v>31</v>
      </c>
      <c r="B17" s="102" t="s">
        <v>208</v>
      </c>
      <c r="C17" s="235">
        <v>210</v>
      </c>
      <c r="D17" s="236">
        <f t="shared" si="3"/>
        <v>7</v>
      </c>
      <c r="E17" s="120">
        <f t="shared" si="0"/>
        <v>210</v>
      </c>
      <c r="F17" s="21">
        <f t="shared" si="5"/>
        <v>105</v>
      </c>
      <c r="G17" s="15">
        <f t="shared" si="4"/>
        <v>64</v>
      </c>
      <c r="H17" s="119">
        <v>32</v>
      </c>
      <c r="I17" s="120"/>
      <c r="J17" s="21">
        <v>32</v>
      </c>
      <c r="K17" s="119">
        <f>26+15</f>
        <v>41</v>
      </c>
      <c r="L17" s="120"/>
      <c r="M17" s="120"/>
      <c r="N17" s="120"/>
      <c r="O17" s="120"/>
      <c r="P17" s="21" t="s">
        <v>67</v>
      </c>
      <c r="Q17" s="238">
        <f t="shared" si="1"/>
        <v>105</v>
      </c>
      <c r="R17" s="15">
        <f t="shared" si="2"/>
        <v>68</v>
      </c>
      <c r="S17" s="119">
        <v>34</v>
      </c>
      <c r="T17" s="120"/>
      <c r="U17" s="21">
        <v>34</v>
      </c>
      <c r="V17" s="119">
        <f>78-41</f>
        <v>37</v>
      </c>
      <c r="W17" s="120"/>
      <c r="X17" s="120"/>
      <c r="Y17" s="120"/>
      <c r="Z17" s="120" t="s">
        <v>70</v>
      </c>
      <c r="AA17" s="121"/>
    </row>
    <row r="18" spans="1:27" s="239" customFormat="1" ht="24.75" customHeight="1">
      <c r="A18" s="234" t="s">
        <v>32</v>
      </c>
      <c r="B18" s="102" t="s">
        <v>209</v>
      </c>
      <c r="C18" s="235">
        <v>120</v>
      </c>
      <c r="D18" s="236">
        <f t="shared" si="3"/>
        <v>4</v>
      </c>
      <c r="E18" s="120">
        <f t="shared" si="0"/>
        <v>120</v>
      </c>
      <c r="F18" s="21">
        <f t="shared" si="5"/>
        <v>0</v>
      </c>
      <c r="G18" s="15">
        <f t="shared" si="4"/>
        <v>0</v>
      </c>
      <c r="H18" s="119"/>
      <c r="I18" s="120"/>
      <c r="J18" s="21"/>
      <c r="K18" s="119"/>
      <c r="L18" s="120"/>
      <c r="M18" s="120"/>
      <c r="N18" s="120"/>
      <c r="O18" s="120"/>
      <c r="P18" s="21"/>
      <c r="Q18" s="238">
        <f t="shared" si="1"/>
        <v>120</v>
      </c>
      <c r="R18" s="15">
        <f t="shared" si="2"/>
        <v>68</v>
      </c>
      <c r="S18" s="119">
        <v>34</v>
      </c>
      <c r="T18" s="120"/>
      <c r="U18" s="21">
        <v>34</v>
      </c>
      <c r="V18" s="119">
        <v>52</v>
      </c>
      <c r="W18" s="120"/>
      <c r="X18" s="120"/>
      <c r="Y18" s="120"/>
      <c r="Z18" s="120" t="s">
        <v>70</v>
      </c>
      <c r="AA18" s="121"/>
    </row>
    <row r="19" spans="1:27" s="239" customFormat="1" ht="24.75" customHeight="1">
      <c r="A19" s="234" t="s">
        <v>33</v>
      </c>
      <c r="B19" s="102" t="s">
        <v>97</v>
      </c>
      <c r="C19" s="235">
        <v>60</v>
      </c>
      <c r="D19" s="236">
        <f t="shared" si="3"/>
        <v>2</v>
      </c>
      <c r="E19" s="120">
        <f t="shared" si="0"/>
        <v>60</v>
      </c>
      <c r="F19" s="21">
        <f t="shared" si="5"/>
        <v>60</v>
      </c>
      <c r="G19" s="15">
        <f t="shared" si="4"/>
        <v>32</v>
      </c>
      <c r="H19" s="119">
        <v>18</v>
      </c>
      <c r="I19" s="120"/>
      <c r="J19" s="21">
        <v>14</v>
      </c>
      <c r="K19" s="119">
        <v>28</v>
      </c>
      <c r="L19" s="120"/>
      <c r="M19" s="120"/>
      <c r="N19" s="120"/>
      <c r="O19" s="120"/>
      <c r="P19" s="21" t="s">
        <v>88</v>
      </c>
      <c r="Q19" s="238">
        <f t="shared" si="1"/>
        <v>0</v>
      </c>
      <c r="R19" s="15">
        <f t="shared" si="2"/>
        <v>0</v>
      </c>
      <c r="S19" s="119"/>
      <c r="T19" s="120"/>
      <c r="U19" s="21"/>
      <c r="V19" s="119"/>
      <c r="W19" s="120"/>
      <c r="X19" s="120"/>
      <c r="Y19" s="120"/>
      <c r="Z19" s="120"/>
      <c r="AA19" s="121"/>
    </row>
    <row r="20" spans="1:27" ht="24.75" customHeight="1">
      <c r="A20" s="138" t="s">
        <v>34</v>
      </c>
      <c r="B20" s="102" t="s">
        <v>92</v>
      </c>
      <c r="C20" s="159">
        <v>60</v>
      </c>
      <c r="D20" s="12">
        <f t="shared" si="3"/>
        <v>2</v>
      </c>
      <c r="E20" s="13">
        <f t="shared" si="0"/>
        <v>60</v>
      </c>
      <c r="F20" s="14">
        <f t="shared" si="5"/>
        <v>0</v>
      </c>
      <c r="G20" s="15">
        <f t="shared" si="4"/>
        <v>0</v>
      </c>
      <c r="H20" s="16"/>
      <c r="I20" s="13"/>
      <c r="J20" s="14"/>
      <c r="K20" s="16"/>
      <c r="L20" s="13"/>
      <c r="M20" s="13"/>
      <c r="N20" s="13"/>
      <c r="O20" s="13"/>
      <c r="P20" s="14"/>
      <c r="Q20" s="164">
        <f t="shared" si="1"/>
        <v>60</v>
      </c>
      <c r="R20" s="15">
        <f t="shared" si="2"/>
        <v>34</v>
      </c>
      <c r="S20" s="16">
        <v>18</v>
      </c>
      <c r="T20" s="13"/>
      <c r="U20" s="14">
        <v>16</v>
      </c>
      <c r="V20" s="16">
        <v>26</v>
      </c>
      <c r="W20" s="13"/>
      <c r="X20" s="13"/>
      <c r="Y20" s="13"/>
      <c r="Z20" s="13"/>
      <c r="AA20" s="17" t="s">
        <v>91</v>
      </c>
    </row>
    <row r="21" spans="1:27" ht="24.75" customHeight="1">
      <c r="A21" s="138" t="s">
        <v>35</v>
      </c>
      <c r="B21" s="102" t="s">
        <v>95</v>
      </c>
      <c r="C21" s="159">
        <v>105</v>
      </c>
      <c r="D21" s="12">
        <f t="shared" si="3"/>
        <v>3.5</v>
      </c>
      <c r="E21" s="13">
        <f t="shared" si="0"/>
        <v>105</v>
      </c>
      <c r="F21" s="14">
        <f t="shared" si="5"/>
        <v>45</v>
      </c>
      <c r="G21" s="15">
        <f t="shared" si="4"/>
        <v>32</v>
      </c>
      <c r="H21" s="16">
        <v>16</v>
      </c>
      <c r="I21" s="13"/>
      <c r="J21" s="14">
        <v>16</v>
      </c>
      <c r="K21" s="16">
        <v>13</v>
      </c>
      <c r="L21" s="13"/>
      <c r="M21" s="13"/>
      <c r="N21" s="13"/>
      <c r="O21" s="13"/>
      <c r="P21" s="14" t="s">
        <v>91</v>
      </c>
      <c r="Q21" s="164">
        <f t="shared" si="1"/>
        <v>60</v>
      </c>
      <c r="R21" s="15">
        <f t="shared" si="2"/>
        <v>34</v>
      </c>
      <c r="S21" s="16">
        <v>18</v>
      </c>
      <c r="T21" s="13"/>
      <c r="U21" s="14">
        <v>16</v>
      </c>
      <c r="V21" s="16">
        <f>39-13</f>
        <v>26</v>
      </c>
      <c r="W21" s="13"/>
      <c r="X21" s="13"/>
      <c r="Y21" s="13"/>
      <c r="Z21" s="13"/>
      <c r="AA21" s="17" t="s">
        <v>67</v>
      </c>
    </row>
    <row r="22" spans="1:27" s="239" customFormat="1" ht="24.75" customHeight="1">
      <c r="A22" s="234" t="s">
        <v>36</v>
      </c>
      <c r="B22" s="151" t="s">
        <v>206</v>
      </c>
      <c r="C22" s="235">
        <v>120</v>
      </c>
      <c r="D22" s="236">
        <f t="shared" si="3"/>
        <v>4</v>
      </c>
      <c r="E22" s="120">
        <f t="shared" si="0"/>
        <v>120</v>
      </c>
      <c r="F22" s="21">
        <f t="shared" si="5"/>
        <v>120</v>
      </c>
      <c r="G22" s="237">
        <f t="shared" si="4"/>
        <v>64</v>
      </c>
      <c r="H22" s="548">
        <v>32</v>
      </c>
      <c r="I22" s="120"/>
      <c r="J22" s="21">
        <v>32</v>
      </c>
      <c r="K22" s="119">
        <v>56</v>
      </c>
      <c r="L22" s="120"/>
      <c r="M22" s="120"/>
      <c r="N22" s="120"/>
      <c r="O22" s="120" t="s">
        <v>70</v>
      </c>
      <c r="P22" s="21"/>
      <c r="Q22" s="238">
        <f t="shared" si="1"/>
        <v>0</v>
      </c>
      <c r="R22" s="237">
        <f t="shared" si="2"/>
        <v>0</v>
      </c>
      <c r="S22" s="507"/>
      <c r="T22" s="120"/>
      <c r="U22" s="21"/>
      <c r="V22" s="119"/>
      <c r="W22" s="120"/>
      <c r="X22" s="120"/>
      <c r="Y22" s="120"/>
      <c r="Z22" s="120"/>
      <c r="AA22" s="121"/>
    </row>
    <row r="23" spans="1:27" ht="24.75" customHeight="1">
      <c r="A23" s="138" t="s">
        <v>37</v>
      </c>
      <c r="B23" s="103" t="s">
        <v>207</v>
      </c>
      <c r="C23" s="159">
        <v>120</v>
      </c>
      <c r="D23" s="12">
        <f t="shared" si="3"/>
        <v>4</v>
      </c>
      <c r="E23" s="13">
        <f t="shared" si="0"/>
        <v>120</v>
      </c>
      <c r="F23" s="14">
        <f t="shared" si="5"/>
        <v>0</v>
      </c>
      <c r="G23" s="15">
        <f t="shared" si="4"/>
        <v>0</v>
      </c>
      <c r="H23" s="16"/>
      <c r="I23" s="13"/>
      <c r="J23" s="14"/>
      <c r="K23" s="16"/>
      <c r="L23" s="13"/>
      <c r="M23" s="13"/>
      <c r="N23" s="13"/>
      <c r="O23" s="13"/>
      <c r="P23" s="14"/>
      <c r="Q23" s="164">
        <f t="shared" si="1"/>
        <v>120</v>
      </c>
      <c r="R23" s="15">
        <f t="shared" si="2"/>
        <v>64</v>
      </c>
      <c r="S23" s="16">
        <v>24</v>
      </c>
      <c r="T23" s="166"/>
      <c r="U23" s="19">
        <v>40</v>
      </c>
      <c r="V23" s="20">
        <v>56</v>
      </c>
      <c r="W23" s="13"/>
      <c r="X23" s="13"/>
      <c r="Y23" s="13"/>
      <c r="Z23" s="13"/>
      <c r="AA23" s="121" t="s">
        <v>67</v>
      </c>
    </row>
    <row r="24" spans="1:27" ht="21" thickBot="1">
      <c r="A24" s="138" t="s">
        <v>38</v>
      </c>
      <c r="B24" s="102" t="s">
        <v>210</v>
      </c>
      <c r="C24" s="159">
        <v>120</v>
      </c>
      <c r="D24" s="12">
        <f t="shared" si="3"/>
        <v>4</v>
      </c>
      <c r="E24" s="13">
        <f t="shared" si="0"/>
        <v>120</v>
      </c>
      <c r="F24" s="14">
        <f t="shared" si="5"/>
        <v>120</v>
      </c>
      <c r="G24" s="15">
        <f t="shared" si="4"/>
        <v>64</v>
      </c>
      <c r="H24" s="16">
        <v>32</v>
      </c>
      <c r="I24" s="18"/>
      <c r="J24" s="19">
        <v>32</v>
      </c>
      <c r="K24" s="20">
        <v>56</v>
      </c>
      <c r="L24" s="18"/>
      <c r="M24" s="18"/>
      <c r="N24" s="18"/>
      <c r="O24" s="13" t="s">
        <v>70</v>
      </c>
      <c r="P24" s="14"/>
      <c r="Q24" s="164">
        <f t="shared" si="1"/>
        <v>0</v>
      </c>
      <c r="R24" s="15">
        <f t="shared" si="2"/>
        <v>0</v>
      </c>
      <c r="S24" s="16"/>
      <c r="T24" s="18"/>
      <c r="U24" s="19"/>
      <c r="V24" s="20"/>
      <c r="W24" s="18"/>
      <c r="X24" s="18"/>
      <c r="Y24" s="18"/>
      <c r="Z24" s="13"/>
      <c r="AA24" s="17"/>
    </row>
    <row r="25" spans="1:27" ht="24.75" customHeight="1" thickBot="1">
      <c r="A25" s="215" t="s">
        <v>39</v>
      </c>
      <c r="B25" s="216" t="s">
        <v>135</v>
      </c>
      <c r="C25" s="217">
        <v>120</v>
      </c>
      <c r="D25" s="218">
        <f t="shared" si="3"/>
        <v>4</v>
      </c>
      <c r="E25" s="219">
        <f t="shared" si="0"/>
        <v>120</v>
      </c>
      <c r="F25" s="220">
        <f t="shared" si="5"/>
        <v>0</v>
      </c>
      <c r="G25" s="221">
        <f t="shared" si="4"/>
        <v>0</v>
      </c>
      <c r="H25" s="222"/>
      <c r="I25" s="219"/>
      <c r="J25" s="220"/>
      <c r="K25" s="222"/>
      <c r="L25" s="219"/>
      <c r="M25" s="219"/>
      <c r="N25" s="219"/>
      <c r="O25" s="219"/>
      <c r="P25" s="220"/>
      <c r="Q25" s="223">
        <f>V25+W25+X25+Y25+R25</f>
        <v>120</v>
      </c>
      <c r="R25" s="221">
        <f>S25+T25+U25</f>
        <v>68</v>
      </c>
      <c r="S25" s="222">
        <v>38</v>
      </c>
      <c r="T25" s="224"/>
      <c r="U25" s="225">
        <v>30</v>
      </c>
      <c r="V25" s="226">
        <v>52</v>
      </c>
      <c r="W25" s="219"/>
      <c r="X25" s="219"/>
      <c r="Y25" s="219"/>
      <c r="Z25" s="219"/>
      <c r="AA25" s="227" t="s">
        <v>67</v>
      </c>
    </row>
    <row r="26" spans="1:27" ht="24.75" customHeight="1" thickBot="1">
      <c r="A26" s="228" t="s">
        <v>40</v>
      </c>
      <c r="B26" s="229" t="s">
        <v>100</v>
      </c>
      <c r="C26" s="230">
        <v>135</v>
      </c>
      <c r="D26" s="231">
        <f>E26/30</f>
        <v>4.5</v>
      </c>
      <c r="E26" s="26">
        <f>F26+Q26</f>
        <v>135</v>
      </c>
      <c r="F26" s="27">
        <f t="shared" si="5"/>
        <v>0</v>
      </c>
      <c r="G26" s="135">
        <f>H26+I26+J26</f>
        <v>0</v>
      </c>
      <c r="H26" s="136"/>
      <c r="I26" s="26"/>
      <c r="J26" s="141"/>
      <c r="K26" s="232"/>
      <c r="L26" s="26"/>
      <c r="M26" s="26"/>
      <c r="N26" s="26"/>
      <c r="O26" s="26"/>
      <c r="P26" s="141"/>
      <c r="Q26" s="233">
        <f>V26+X26+Y26+R26</f>
        <v>135</v>
      </c>
      <c r="R26" s="135">
        <f>S26+T26+U26</f>
        <v>90</v>
      </c>
      <c r="S26" s="136"/>
      <c r="T26" s="26"/>
      <c r="U26" s="27">
        <f>30*3</f>
        <v>90</v>
      </c>
      <c r="V26" s="136">
        <f>15*3</f>
        <v>45</v>
      </c>
      <c r="W26" s="26"/>
      <c r="X26" s="26"/>
      <c r="Y26" s="26"/>
      <c r="Z26" s="26"/>
      <c r="AA26" s="141" t="s">
        <v>67</v>
      </c>
    </row>
    <row r="27" spans="1:27" ht="24.75" customHeight="1" thickBot="1">
      <c r="A27" s="28"/>
      <c r="B27" s="29" t="s">
        <v>42</v>
      </c>
      <c r="C27" s="30">
        <f>SUM(C14:C26)</f>
        <v>1395</v>
      </c>
      <c r="D27" s="31">
        <f>SUM(D14:D26)</f>
        <v>46</v>
      </c>
      <c r="E27" s="31">
        <f>SUM(E14:E26)</f>
        <v>1380</v>
      </c>
      <c r="F27" s="32">
        <f>SUM(F14:F26)</f>
        <v>540</v>
      </c>
      <c r="G27" s="33">
        <f>SUM(G14:G25)</f>
        <v>304</v>
      </c>
      <c r="H27" s="34">
        <f>SUM(H14:H26)</f>
        <v>162</v>
      </c>
      <c r="I27" s="35">
        <f>SUM(I14:I26)</f>
        <v>0</v>
      </c>
      <c r="J27" s="35">
        <f>SUM(J14:J26)</f>
        <v>142</v>
      </c>
      <c r="K27" s="35">
        <f>SUM(K14:K26)</f>
        <v>236</v>
      </c>
      <c r="L27" s="33">
        <f>COUNT(L14:L24)</f>
        <v>0</v>
      </c>
      <c r="M27" s="35">
        <f>SUM(M14:M26)</f>
        <v>0</v>
      </c>
      <c r="N27" s="35">
        <f>SUM(N14:N26)</f>
        <v>0</v>
      </c>
      <c r="O27" s="33">
        <v>2</v>
      </c>
      <c r="P27" s="33">
        <v>4</v>
      </c>
      <c r="Q27" s="33">
        <f>SUM(Q14:Q26)</f>
        <v>840</v>
      </c>
      <c r="R27" s="37">
        <f>SUM(R14:R25)</f>
        <v>404</v>
      </c>
      <c r="S27" s="38">
        <f aca="true" t="shared" si="6" ref="S27:Y27">SUM(S14:S26)</f>
        <v>208</v>
      </c>
      <c r="T27" s="31">
        <f t="shared" si="6"/>
        <v>0</v>
      </c>
      <c r="U27" s="31">
        <f t="shared" si="6"/>
        <v>286</v>
      </c>
      <c r="V27" s="31">
        <f t="shared" si="6"/>
        <v>346</v>
      </c>
      <c r="W27" s="31">
        <f t="shared" si="6"/>
        <v>0</v>
      </c>
      <c r="X27" s="31">
        <f t="shared" si="6"/>
        <v>0</v>
      </c>
      <c r="Y27" s="31">
        <f t="shared" si="6"/>
        <v>0</v>
      </c>
      <c r="Z27" s="31">
        <v>3</v>
      </c>
      <c r="AA27" s="142">
        <v>5</v>
      </c>
    </row>
    <row r="28" spans="1:27" ht="24.75" customHeight="1" thickBot="1">
      <c r="A28" s="589"/>
      <c r="B28" s="40" t="s">
        <v>43</v>
      </c>
      <c r="C28" s="41"/>
      <c r="D28" s="42"/>
      <c r="E28" s="43"/>
      <c r="F28" s="44"/>
      <c r="G28" s="45">
        <f>G27/J10</f>
        <v>19</v>
      </c>
      <c r="H28" s="46"/>
      <c r="I28" s="47"/>
      <c r="J28" s="47"/>
      <c r="K28" s="47"/>
      <c r="L28" s="47"/>
      <c r="M28" s="47"/>
      <c r="N28" s="47"/>
      <c r="O28" s="48"/>
      <c r="P28" s="49"/>
      <c r="Q28" s="44"/>
      <c r="R28" s="50">
        <f>SUM(R14:R25)/U10</f>
        <v>23.764705882352942</v>
      </c>
      <c r="S28" s="51"/>
      <c r="T28" s="41"/>
      <c r="U28" s="41"/>
      <c r="V28" s="41"/>
      <c r="W28" s="41"/>
      <c r="X28" s="41"/>
      <c r="Y28" s="41"/>
      <c r="Z28" s="52"/>
      <c r="AA28" s="143"/>
    </row>
    <row r="29" spans="1:27" ht="24.75" customHeight="1" thickBot="1">
      <c r="A29" s="590"/>
      <c r="B29" s="53" t="s">
        <v>44</v>
      </c>
      <c r="C29" s="43"/>
      <c r="D29" s="54"/>
      <c r="E29" s="43"/>
      <c r="F29" s="55"/>
      <c r="G29" s="56"/>
      <c r="H29" s="57"/>
      <c r="I29" s="43"/>
      <c r="J29" s="43"/>
      <c r="K29" s="43"/>
      <c r="L29" s="43"/>
      <c r="M29" s="43"/>
      <c r="N29" s="58"/>
      <c r="O29" s="39">
        <v>2</v>
      </c>
      <c r="P29" s="59"/>
      <c r="Q29" s="60"/>
      <c r="R29" s="61"/>
      <c r="S29" s="62"/>
      <c r="T29" s="62"/>
      <c r="U29" s="62"/>
      <c r="V29" s="62"/>
      <c r="W29" s="62"/>
      <c r="X29" s="62"/>
      <c r="Y29" s="58"/>
      <c r="Z29" s="39">
        <v>3</v>
      </c>
      <c r="AA29" s="144"/>
    </row>
    <row r="30" spans="1:27" ht="24.75" customHeight="1" thickBot="1">
      <c r="A30" s="590"/>
      <c r="B30" s="53" t="s">
        <v>45</v>
      </c>
      <c r="C30" s="43"/>
      <c r="D30" s="54"/>
      <c r="E30" s="43"/>
      <c r="F30" s="55"/>
      <c r="G30" s="58"/>
      <c r="H30" s="57"/>
      <c r="I30" s="43"/>
      <c r="J30" s="43"/>
      <c r="K30" s="43"/>
      <c r="L30" s="63"/>
      <c r="M30" s="43"/>
      <c r="N30" s="62"/>
      <c r="O30" s="56"/>
      <c r="P30" s="39">
        <v>4</v>
      </c>
      <c r="Q30" s="60"/>
      <c r="R30" s="62"/>
      <c r="S30" s="62"/>
      <c r="T30" s="62"/>
      <c r="U30" s="62"/>
      <c r="V30" s="62"/>
      <c r="W30" s="64"/>
      <c r="X30" s="62"/>
      <c r="Y30" s="62"/>
      <c r="Z30" s="56"/>
      <c r="AA30" s="39">
        <v>6</v>
      </c>
    </row>
    <row r="31" spans="1:27" ht="24.75" customHeight="1" thickBot="1">
      <c r="A31" s="590"/>
      <c r="B31" s="65" t="s">
        <v>46</v>
      </c>
      <c r="C31" s="63"/>
      <c r="D31" s="66"/>
      <c r="E31" s="63"/>
      <c r="F31" s="67"/>
      <c r="G31" s="66"/>
      <c r="H31" s="68"/>
      <c r="I31" s="69"/>
      <c r="J31" s="69"/>
      <c r="K31" s="70"/>
      <c r="L31" s="39">
        <f>COUNT(L14:L24)</f>
        <v>0</v>
      </c>
      <c r="M31" s="71"/>
      <c r="N31" s="72"/>
      <c r="O31" s="72"/>
      <c r="P31" s="73"/>
      <c r="Q31" s="74"/>
      <c r="R31" s="64"/>
      <c r="S31" s="64"/>
      <c r="T31" s="64"/>
      <c r="U31" s="64"/>
      <c r="V31" s="75"/>
      <c r="W31" s="76">
        <v>0</v>
      </c>
      <c r="X31" s="67"/>
      <c r="Y31" s="63"/>
      <c r="Z31" s="64"/>
      <c r="AA31" s="145"/>
    </row>
    <row r="32" spans="1:27" ht="24.75" customHeight="1" thickBot="1">
      <c r="A32" s="591"/>
      <c r="B32" s="137" t="s">
        <v>47</v>
      </c>
      <c r="C32" s="77">
        <f>SUM(C28:C31)</f>
        <v>0</v>
      </c>
      <c r="D32" s="77">
        <f aca="true" t="shared" si="7" ref="D32:AA32">SUM(D28:D31)</f>
        <v>0</v>
      </c>
      <c r="E32" s="77">
        <f t="shared" si="7"/>
        <v>0</v>
      </c>
      <c r="F32" s="77">
        <f t="shared" si="7"/>
        <v>0</v>
      </c>
      <c r="G32" s="78">
        <f>SUM(G28:G31)</f>
        <v>19</v>
      </c>
      <c r="H32" s="31">
        <f t="shared" si="7"/>
        <v>0</v>
      </c>
      <c r="I32" s="31">
        <f t="shared" si="7"/>
        <v>0</v>
      </c>
      <c r="J32" s="31">
        <f t="shared" si="7"/>
        <v>0</v>
      </c>
      <c r="K32" s="32">
        <f t="shared" si="7"/>
        <v>0</v>
      </c>
      <c r="L32" s="39">
        <f t="shared" si="7"/>
        <v>0</v>
      </c>
      <c r="M32" s="38">
        <f t="shared" si="7"/>
        <v>0</v>
      </c>
      <c r="N32" s="31">
        <f t="shared" si="7"/>
        <v>0</v>
      </c>
      <c r="O32" s="31">
        <f t="shared" si="7"/>
        <v>2</v>
      </c>
      <c r="P32" s="31">
        <f t="shared" si="7"/>
        <v>4</v>
      </c>
      <c r="Q32" s="77">
        <f t="shared" si="7"/>
        <v>0</v>
      </c>
      <c r="R32" s="78">
        <f t="shared" si="7"/>
        <v>23.764705882352942</v>
      </c>
      <c r="S32" s="77">
        <f t="shared" si="7"/>
        <v>0</v>
      </c>
      <c r="T32" s="77">
        <f t="shared" si="7"/>
        <v>0</v>
      </c>
      <c r="U32" s="77">
        <f t="shared" si="7"/>
        <v>0</v>
      </c>
      <c r="V32" s="77">
        <f t="shared" si="7"/>
        <v>0</v>
      </c>
      <c r="W32" s="77">
        <f t="shared" si="7"/>
        <v>0</v>
      </c>
      <c r="X32" s="77">
        <f t="shared" si="7"/>
        <v>0</v>
      </c>
      <c r="Y32" s="77">
        <f t="shared" si="7"/>
        <v>0</v>
      </c>
      <c r="Z32" s="77">
        <f t="shared" si="7"/>
        <v>3</v>
      </c>
      <c r="AA32" s="146">
        <f t="shared" si="7"/>
        <v>6</v>
      </c>
    </row>
    <row r="33" spans="1:27" ht="24.75" customHeight="1">
      <c r="A33" s="80"/>
      <c r="B33" s="80"/>
      <c r="C33" s="81"/>
      <c r="D33" s="80"/>
      <c r="E33" s="81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4" spans="1:27" ht="20.25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20.25">
      <c r="A35" s="80"/>
      <c r="B35" s="80"/>
      <c r="C35" s="81"/>
      <c r="D35" s="80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26.25">
      <c r="A36" s="1"/>
      <c r="B36" s="82" t="s">
        <v>60</v>
      </c>
      <c r="C36" s="82"/>
      <c r="D36" s="82"/>
      <c r="E36" s="82"/>
      <c r="F36" s="82"/>
      <c r="G36" s="82"/>
      <c r="H36" s="82"/>
      <c r="I36" s="82"/>
      <c r="J36" s="82"/>
      <c r="K36" s="82" t="s">
        <v>59</v>
      </c>
      <c r="L36" s="82"/>
      <c r="M36" s="82"/>
      <c r="N36" s="82"/>
      <c r="O36" s="82"/>
      <c r="P36" s="82"/>
      <c r="Q36" s="82"/>
      <c r="R36" s="83"/>
      <c r="S36" s="83"/>
      <c r="T36" s="84"/>
      <c r="U36" s="85"/>
      <c r="V36" s="85"/>
      <c r="W36" s="85"/>
      <c r="X36" s="85"/>
      <c r="Y36" s="86"/>
      <c r="Z36" s="86"/>
      <c r="AA36" s="86"/>
    </row>
    <row r="37" spans="1:27" ht="26.25">
      <c r="A37" s="87"/>
      <c r="B37" s="592"/>
      <c r="C37" s="592"/>
      <c r="D37" s="592"/>
      <c r="E37" s="592"/>
      <c r="F37" s="592"/>
      <c r="G37" s="592"/>
      <c r="H37" s="592"/>
      <c r="I37" s="592"/>
      <c r="J37" s="592"/>
      <c r="K37" s="87"/>
      <c r="L37" s="87"/>
      <c r="M37" s="87"/>
      <c r="N37" s="87"/>
      <c r="O37" s="87"/>
      <c r="P37" s="87"/>
      <c r="Q37" s="87"/>
      <c r="R37" s="87" t="s">
        <v>48</v>
      </c>
      <c r="S37" s="89"/>
      <c r="T37" s="90" t="s">
        <v>49</v>
      </c>
      <c r="U37" s="91" t="s">
        <v>50</v>
      </c>
      <c r="V37" s="91"/>
      <c r="W37" s="91"/>
      <c r="X37" s="90"/>
      <c r="Y37" s="90"/>
      <c r="Z37" s="92"/>
      <c r="AA37" s="92"/>
    </row>
    <row r="38" spans="1:27" ht="26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2"/>
      <c r="L38" s="82"/>
      <c r="M38" s="82"/>
      <c r="N38" s="82"/>
      <c r="O38" s="82"/>
      <c r="P38" s="82"/>
      <c r="Q38" s="82"/>
      <c r="R38" s="82"/>
      <c r="S38" s="82"/>
      <c r="T38" s="84"/>
      <c r="U38" s="84"/>
      <c r="V38" s="84"/>
      <c r="W38" s="84"/>
      <c r="X38" s="93"/>
      <c r="Y38" s="93"/>
      <c r="Z38" s="94"/>
      <c r="AA38" s="94"/>
    </row>
    <row r="39" spans="1:27" ht="26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2" t="s">
        <v>51</v>
      </c>
      <c r="L39" s="82"/>
      <c r="M39" s="82"/>
      <c r="N39" s="82"/>
      <c r="O39" s="82"/>
      <c r="P39" s="82"/>
      <c r="Q39" s="82"/>
      <c r="R39" s="83"/>
      <c r="S39" s="83"/>
      <c r="T39" s="84"/>
      <c r="U39" s="85"/>
      <c r="V39" s="85"/>
      <c r="W39" s="85"/>
      <c r="X39" s="85"/>
      <c r="Y39" s="86"/>
      <c r="Z39" s="94"/>
      <c r="AA39" s="94"/>
    </row>
    <row r="40" spans="1:27" ht="26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7"/>
      <c r="L40" s="87"/>
      <c r="M40" s="87"/>
      <c r="N40" s="87"/>
      <c r="O40" s="87"/>
      <c r="P40" s="87"/>
      <c r="Q40" s="87"/>
      <c r="R40" s="87" t="s">
        <v>48</v>
      </c>
      <c r="S40" s="89"/>
      <c r="T40" s="90" t="s">
        <v>52</v>
      </c>
      <c r="U40" s="91" t="s">
        <v>50</v>
      </c>
      <c r="V40" s="91"/>
      <c r="W40" s="91"/>
      <c r="X40" s="90"/>
      <c r="Y40" s="90"/>
      <c r="Z40" s="94"/>
      <c r="AA40" s="94"/>
    </row>
  </sheetData>
  <sheetProtection/>
  <mergeCells count="42">
    <mergeCell ref="A28:A32"/>
    <mergeCell ref="B37:J37"/>
    <mergeCell ref="G12:G13"/>
    <mergeCell ref="H12:J12"/>
    <mergeCell ref="O12:O13"/>
    <mergeCell ref="P12:P13"/>
    <mergeCell ref="F11:F13"/>
    <mergeCell ref="G11:J11"/>
    <mergeCell ref="K11:K13"/>
    <mergeCell ref="L11:L13"/>
    <mergeCell ref="Z11:AA11"/>
    <mergeCell ref="Z12:Z13"/>
    <mergeCell ref="AA12:AA13"/>
    <mergeCell ref="M11:M13"/>
    <mergeCell ref="N11:N13"/>
    <mergeCell ref="O11:P11"/>
    <mergeCell ref="Q10:T10"/>
    <mergeCell ref="V10:AA10"/>
    <mergeCell ref="R12:R13"/>
    <mergeCell ref="S12:U12"/>
    <mergeCell ref="R11:U11"/>
    <mergeCell ref="V11:V13"/>
    <mergeCell ref="Q11:Q13"/>
    <mergeCell ref="W11:W13"/>
    <mergeCell ref="X11:X13"/>
    <mergeCell ref="Y11:Y13"/>
    <mergeCell ref="W7:AA7"/>
    <mergeCell ref="A8:AA8"/>
    <mergeCell ref="A9:AA9"/>
    <mergeCell ref="A10:A13"/>
    <mergeCell ref="B10:B13"/>
    <mergeCell ref="C10:C13"/>
    <mergeCell ref="D10:D13"/>
    <mergeCell ref="E10:E13"/>
    <mergeCell ref="F10:I10"/>
    <mergeCell ref="K10:P10"/>
    <mergeCell ref="C1:AA1"/>
    <mergeCell ref="C2:AA2"/>
    <mergeCell ref="C3:AA3"/>
    <mergeCell ref="C4:AA4"/>
    <mergeCell ref="C5:AA5"/>
    <mergeCell ref="C6:AA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Користувач Windows</cp:lastModifiedBy>
  <cp:lastPrinted>2023-09-07T09:28:09Z</cp:lastPrinted>
  <dcterms:created xsi:type="dcterms:W3CDTF">2023-07-30T17:00:00Z</dcterms:created>
  <dcterms:modified xsi:type="dcterms:W3CDTF">2023-10-13T12:02:25Z</dcterms:modified>
  <cp:category/>
  <cp:version/>
  <cp:contentType/>
  <cp:contentStatus/>
</cp:coreProperties>
</file>